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0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19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0" documentId="8_{F5080BC6-E10C-40A5-A48C-E336E91B50EE}" xr6:coauthVersionLast="47" xr6:coauthVersionMax="47" xr10:uidLastSave="{00000000-0000-0000-0000-000000000000}"/>
  <bookViews>
    <workbookView xWindow="-108" yWindow="-108" windowWidth="23256" windowHeight="12576" xr2:uid="{F3C1460F-538D-456F-AA7E-7A60A79FF9DB}"/>
  </bookViews>
  <sheets>
    <sheet name="Electricidad" sheetId="1" r:id="rId1"/>
    <sheet name="3.0TD" sheetId="20" state="hidden" r:id="rId2"/>
    <sheet name="2034VC" sheetId="27" state="hidden" r:id="rId3"/>
    <sheet name="9002VV" sheetId="2" state="hidden" r:id="rId4"/>
    <sheet name="9001VQ" sheetId="3" state="hidden" r:id="rId5"/>
    <sheet name="1026AP" sheetId="4" state="hidden" r:id="rId6"/>
    <sheet name="6001EZ" sheetId="6" state="hidden" r:id="rId7"/>
    <sheet name="9014LW" sheetId="31" state="hidden" r:id="rId8"/>
    <sheet name="9001DR" sheetId="32" state="hidden" r:id="rId9"/>
    <sheet name="3021YT" sheetId="33" state="hidden" r:id="rId10"/>
    <sheet name="6034XG" sheetId="34" state="hidden" r:id="rId11"/>
    <sheet name="3003KX" sheetId="35" state="hidden" r:id="rId12"/>
    <sheet name="7871CF" sheetId="36" state="hidden" r:id="rId13"/>
    <sheet name="1307LV" sheetId="37" state="hidden" r:id="rId14"/>
    <sheet name="3001NQ" sheetId="38" state="hidden" r:id="rId15"/>
    <sheet name="9012KD" sheetId="39" state="hidden" r:id="rId16"/>
    <sheet name="5009EN" sheetId="30" state="hidden" r:id="rId17"/>
    <sheet name="9001TT" sheetId="29" state="hidden" r:id="rId18"/>
    <sheet name="4021XW" sheetId="28" state="hidden" r:id="rId19"/>
    <sheet name="2002TQ" sheetId="7" state="hidden" r:id="rId20"/>
    <sheet name="5002TJ" sheetId="8" state="hidden" r:id="rId21"/>
    <sheet name="6001JF" sheetId="9" state="hidden" r:id="rId22"/>
    <sheet name="4001XZ" sheetId="10" state="hidden" r:id="rId23"/>
    <sheet name="2001GH" sheetId="11" state="hidden" r:id="rId24"/>
    <sheet name="7001PC" sheetId="12" state="hidden" r:id="rId25"/>
    <sheet name="8001QN" sheetId="13" state="hidden" r:id="rId26"/>
    <sheet name="3001RN" sheetId="14" state="hidden" r:id="rId27"/>
    <sheet name="2001DA" sheetId="15" state="hidden" r:id="rId28"/>
    <sheet name="8001WP" sheetId="5" state="hidden" r:id="rId29"/>
    <sheet name="8633CD" sheetId="16" state="hidden" r:id="rId30"/>
    <sheet name="2452LT" sheetId="17" state="hidden" r:id="rId31"/>
    <sheet name="4014MY" sheetId="18" state="hidden" r:id="rId32"/>
    <sheet name="4443XC" sheetId="23" state="hidden" r:id="rId33"/>
    <sheet name="4536ZR" sheetId="24" state="hidden" r:id="rId34"/>
    <sheet name="7189PW" sheetId="25" state="hidden" r:id="rId35"/>
    <sheet name="8334SA" sheetId="26" state="hidden" r:id="rId36"/>
    <sheet name="8001CZ" sheetId="21" state="hidden" r:id="rId37"/>
    <sheet name="0192PH" sheetId="22" state="hidden" r:id="rId38"/>
  </sheets>
  <definedNames>
    <definedName name="_xlnm.Print_Area" localSheetId="0">Electricidad!$B$5:$Q$22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2" i="1" l="1"/>
  <c r="O42" i="1"/>
  <c r="T42" i="1"/>
  <c r="U42" i="1"/>
  <c r="R19" i="1" l="1"/>
  <c r="U19" i="1" s="1"/>
  <c r="R11" i="1"/>
  <c r="U11" i="1" s="1"/>
  <c r="R17" i="1"/>
  <c r="U17" i="1" s="1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O41" i="1" s="1"/>
  <c r="H28" i="38"/>
  <c r="H29" i="38"/>
  <c r="H30" i="38"/>
  <c r="H31" i="38"/>
  <c r="H32" i="38"/>
  <c r="H33" i="38"/>
  <c r="H34" i="38"/>
  <c r="H35" i="38"/>
  <c r="H36" i="38"/>
  <c r="H37" i="38"/>
  <c r="H38" i="38"/>
  <c r="H39" i="38"/>
  <c r="H40" i="38"/>
  <c r="H41" i="38"/>
  <c r="I7" i="38"/>
  <c r="I8" i="38"/>
  <c r="I9" i="38"/>
  <c r="I10" i="38"/>
  <c r="I11" i="38"/>
  <c r="I12" i="38"/>
  <c r="I13" i="38"/>
  <c r="I14" i="38"/>
  <c r="I15" i="38"/>
  <c r="I16" i="38"/>
  <c r="I17" i="38"/>
  <c r="I18" i="38"/>
  <c r="I19" i="38"/>
  <c r="I20" i="38"/>
  <c r="I21" i="38"/>
  <c r="I22" i="38"/>
  <c r="I23" i="38"/>
  <c r="I24" i="38"/>
  <c r="I25" i="38"/>
  <c r="I26" i="38"/>
  <c r="I27" i="38"/>
  <c r="I28" i="38"/>
  <c r="I29" i="38"/>
  <c r="I30" i="38"/>
  <c r="P41" i="1" s="1"/>
  <c r="I31" i="38"/>
  <c r="I32" i="38"/>
  <c r="I33" i="38"/>
  <c r="I34" i="38"/>
  <c r="I35" i="38"/>
  <c r="I36" i="38"/>
  <c r="I37" i="38"/>
  <c r="I38" i="38"/>
  <c r="I39" i="38"/>
  <c r="I40" i="38"/>
  <c r="I41" i="38"/>
  <c r="H7" i="38"/>
  <c r="M41" i="1"/>
  <c r="N41" i="1"/>
  <c r="L41" i="1"/>
  <c r="M40" i="1"/>
  <c r="N40" i="1"/>
  <c r="O40" i="1"/>
  <c r="P40" i="1"/>
  <c r="L40" i="1"/>
  <c r="M39" i="1"/>
  <c r="N39" i="1"/>
  <c r="O39" i="1"/>
  <c r="P39" i="1"/>
  <c r="L39" i="1"/>
  <c r="M38" i="1"/>
  <c r="N38" i="1"/>
  <c r="O38" i="1"/>
  <c r="P38" i="1"/>
  <c r="L38" i="1"/>
  <c r="M37" i="1"/>
  <c r="N37" i="1"/>
  <c r="O37" i="1"/>
  <c r="P37" i="1"/>
  <c r="Q37" i="1"/>
  <c r="R37" i="1"/>
  <c r="S37" i="1"/>
  <c r="T37" i="1"/>
  <c r="L37" i="1"/>
  <c r="M41" i="39"/>
  <c r="L41" i="39"/>
  <c r="K41" i="39"/>
  <c r="J41" i="39"/>
  <c r="I41" i="39"/>
  <c r="H41" i="39"/>
  <c r="M40" i="39"/>
  <c r="L40" i="39"/>
  <c r="K40" i="39"/>
  <c r="J40" i="39"/>
  <c r="I40" i="39"/>
  <c r="H40" i="39"/>
  <c r="M39" i="39"/>
  <c r="L39" i="39"/>
  <c r="K39" i="39"/>
  <c r="J39" i="39"/>
  <c r="I39" i="39"/>
  <c r="H39" i="39"/>
  <c r="M38" i="39"/>
  <c r="L38" i="39"/>
  <c r="K38" i="39"/>
  <c r="J38" i="39"/>
  <c r="I38" i="39"/>
  <c r="H38" i="39"/>
  <c r="M37" i="39"/>
  <c r="L37" i="39"/>
  <c r="K37" i="39"/>
  <c r="J37" i="39"/>
  <c r="I37" i="39"/>
  <c r="H37" i="39"/>
  <c r="M36" i="39"/>
  <c r="L36" i="39"/>
  <c r="K36" i="39"/>
  <c r="J36" i="39"/>
  <c r="I36" i="39"/>
  <c r="H36" i="39"/>
  <c r="M35" i="39"/>
  <c r="L35" i="39"/>
  <c r="K35" i="39"/>
  <c r="J35" i="39"/>
  <c r="I35" i="39"/>
  <c r="H35" i="39"/>
  <c r="M34" i="39"/>
  <c r="L34" i="39"/>
  <c r="K34" i="39"/>
  <c r="J34" i="39"/>
  <c r="I34" i="39"/>
  <c r="H34" i="39"/>
  <c r="M33" i="39"/>
  <c r="L33" i="39"/>
  <c r="K33" i="39"/>
  <c r="J33" i="39"/>
  <c r="I33" i="39"/>
  <c r="H33" i="39"/>
  <c r="M32" i="39"/>
  <c r="L32" i="39"/>
  <c r="K32" i="39"/>
  <c r="J32" i="39"/>
  <c r="I32" i="39"/>
  <c r="H32" i="39"/>
  <c r="M31" i="39"/>
  <c r="L31" i="39"/>
  <c r="K31" i="39"/>
  <c r="J31" i="39"/>
  <c r="I31" i="39"/>
  <c r="H31" i="39"/>
  <c r="M30" i="39"/>
  <c r="L30" i="39"/>
  <c r="K30" i="39"/>
  <c r="J30" i="39"/>
  <c r="I30" i="39"/>
  <c r="H30" i="39"/>
  <c r="M29" i="39"/>
  <c r="L29" i="39"/>
  <c r="K29" i="39"/>
  <c r="J29" i="39"/>
  <c r="I29" i="39"/>
  <c r="H29" i="39"/>
  <c r="M28" i="39"/>
  <c r="L28" i="39"/>
  <c r="K28" i="39"/>
  <c r="J28" i="39"/>
  <c r="I28" i="39"/>
  <c r="H28" i="39"/>
  <c r="M27" i="39"/>
  <c r="L27" i="39"/>
  <c r="K27" i="39"/>
  <c r="J27" i="39"/>
  <c r="I27" i="39"/>
  <c r="H27" i="39"/>
  <c r="M26" i="39"/>
  <c r="L26" i="39"/>
  <c r="K26" i="39"/>
  <c r="J26" i="39"/>
  <c r="I26" i="39"/>
  <c r="H26" i="39"/>
  <c r="M25" i="39"/>
  <c r="L25" i="39"/>
  <c r="K25" i="39"/>
  <c r="J25" i="39"/>
  <c r="I25" i="39"/>
  <c r="H25" i="39"/>
  <c r="M24" i="39"/>
  <c r="L24" i="39"/>
  <c r="K24" i="39"/>
  <c r="J24" i="39"/>
  <c r="I24" i="39"/>
  <c r="H24" i="39"/>
  <c r="M23" i="39"/>
  <c r="L23" i="39"/>
  <c r="K23" i="39"/>
  <c r="J23" i="39"/>
  <c r="I23" i="39"/>
  <c r="H23" i="39"/>
  <c r="M22" i="39"/>
  <c r="L22" i="39"/>
  <c r="K22" i="39"/>
  <c r="J22" i="39"/>
  <c r="I22" i="39"/>
  <c r="H22" i="39"/>
  <c r="M21" i="39"/>
  <c r="L21" i="39"/>
  <c r="K21" i="39"/>
  <c r="J21" i="39"/>
  <c r="I21" i="39"/>
  <c r="H21" i="39"/>
  <c r="M20" i="39"/>
  <c r="L20" i="39"/>
  <c r="K20" i="39"/>
  <c r="J20" i="39"/>
  <c r="I20" i="39"/>
  <c r="H20" i="39"/>
  <c r="M19" i="39"/>
  <c r="L19" i="39"/>
  <c r="K19" i="39"/>
  <c r="J19" i="39"/>
  <c r="I19" i="39"/>
  <c r="H19" i="39"/>
  <c r="M18" i="39"/>
  <c r="L18" i="39"/>
  <c r="K18" i="39"/>
  <c r="J18" i="39"/>
  <c r="I18" i="39"/>
  <c r="H18" i="39"/>
  <c r="M17" i="39"/>
  <c r="L17" i="39"/>
  <c r="K17" i="39"/>
  <c r="J17" i="39"/>
  <c r="I17" i="39"/>
  <c r="H17" i="39"/>
  <c r="M16" i="39"/>
  <c r="L16" i="39"/>
  <c r="K16" i="39"/>
  <c r="J16" i="39"/>
  <c r="I16" i="39"/>
  <c r="H16" i="39"/>
  <c r="M15" i="39"/>
  <c r="L15" i="39"/>
  <c r="K15" i="39"/>
  <c r="J15" i="39"/>
  <c r="I15" i="39"/>
  <c r="H15" i="39"/>
  <c r="M14" i="39"/>
  <c r="L14" i="39"/>
  <c r="K14" i="39"/>
  <c r="J14" i="39"/>
  <c r="I14" i="39"/>
  <c r="H14" i="39"/>
  <c r="M13" i="39"/>
  <c r="L13" i="39"/>
  <c r="K13" i="39"/>
  <c r="J13" i="39"/>
  <c r="I13" i="39"/>
  <c r="H13" i="39"/>
  <c r="M12" i="39"/>
  <c r="L12" i="39"/>
  <c r="K12" i="39"/>
  <c r="J12" i="39"/>
  <c r="I12" i="39"/>
  <c r="H12" i="39"/>
  <c r="M11" i="39"/>
  <c r="L11" i="39"/>
  <c r="K11" i="39"/>
  <c r="J11" i="39"/>
  <c r="I11" i="39"/>
  <c r="H11" i="39"/>
  <c r="M10" i="39"/>
  <c r="L10" i="39"/>
  <c r="K10" i="39"/>
  <c r="J10" i="39"/>
  <c r="I10" i="39"/>
  <c r="H10" i="39"/>
  <c r="M9" i="39"/>
  <c r="L9" i="39"/>
  <c r="K9" i="39"/>
  <c r="J9" i="39"/>
  <c r="I9" i="39"/>
  <c r="H9" i="39"/>
  <c r="M8" i="39"/>
  <c r="L8" i="39"/>
  <c r="K8" i="39"/>
  <c r="J8" i="39"/>
  <c r="I8" i="39"/>
  <c r="H8" i="39"/>
  <c r="M7" i="39"/>
  <c r="L7" i="39"/>
  <c r="K7" i="39"/>
  <c r="J7" i="39"/>
  <c r="I7" i="39"/>
  <c r="H7" i="39"/>
  <c r="N7" i="39"/>
  <c r="N8" i="39"/>
  <c r="N9" i="39"/>
  <c r="N10" i="39"/>
  <c r="N11" i="39"/>
  <c r="N12" i="39"/>
  <c r="N13" i="39"/>
  <c r="N14" i="39"/>
  <c r="N15" i="39"/>
  <c r="N16" i="39"/>
  <c r="N17" i="39"/>
  <c r="N18" i="39"/>
  <c r="N19" i="39"/>
  <c r="N20" i="39"/>
  <c r="N21" i="39"/>
  <c r="N22" i="39"/>
  <c r="N23" i="39"/>
  <c r="N24" i="39"/>
  <c r="N25" i="39"/>
  <c r="N26" i="39"/>
  <c r="N27" i="39"/>
  <c r="N28" i="39"/>
  <c r="N29" i="39"/>
  <c r="N30" i="39"/>
  <c r="N31" i="39"/>
  <c r="N32" i="39"/>
  <c r="N33" i="39"/>
  <c r="N34" i="39"/>
  <c r="N35" i="39"/>
  <c r="N36" i="39"/>
  <c r="N37" i="39"/>
  <c r="N38" i="39"/>
  <c r="N39" i="39"/>
  <c r="N40" i="39"/>
  <c r="N41" i="39"/>
  <c r="N7" i="38"/>
  <c r="N8" i="38"/>
  <c r="N9" i="38"/>
  <c r="N10" i="38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40" i="38"/>
  <c r="N41" i="38"/>
  <c r="M36" i="1"/>
  <c r="N36" i="1"/>
  <c r="O36" i="1"/>
  <c r="P36" i="1"/>
  <c r="Q36" i="1"/>
  <c r="R36" i="1"/>
  <c r="S36" i="1"/>
  <c r="T36" i="1"/>
  <c r="L36" i="1"/>
  <c r="M35" i="1"/>
  <c r="N35" i="1"/>
  <c r="O35" i="1"/>
  <c r="P35" i="1"/>
  <c r="Q35" i="1"/>
  <c r="R35" i="1"/>
  <c r="S35" i="1"/>
  <c r="T35" i="1"/>
  <c r="L35" i="1"/>
  <c r="M34" i="1"/>
  <c r="N34" i="1"/>
  <c r="O34" i="1"/>
  <c r="P34" i="1"/>
  <c r="L34" i="1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N14" i="37"/>
  <c r="N13" i="37"/>
  <c r="N12" i="37"/>
  <c r="N11" i="37"/>
  <c r="N10" i="37"/>
  <c r="N9" i="37"/>
  <c r="N8" i="37"/>
  <c r="N7" i="37"/>
  <c r="I42" i="37"/>
  <c r="I41" i="37"/>
  <c r="I40" i="37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9" i="37"/>
  <c r="I8" i="37"/>
  <c r="I7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N7" i="36"/>
  <c r="N8" i="36"/>
  <c r="N9" i="36"/>
  <c r="N10" i="36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I7" i="36"/>
  <c r="I8" i="36"/>
  <c r="I9" i="36"/>
  <c r="I10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7" i="36"/>
  <c r="I7" i="35"/>
  <c r="I8" i="35"/>
  <c r="I9" i="35"/>
  <c r="I10" i="35"/>
  <c r="I11" i="35"/>
  <c r="I12" i="35"/>
  <c r="I13" i="35"/>
  <c r="I14" i="35"/>
  <c r="I15" i="35"/>
  <c r="I16" i="35"/>
  <c r="I17" i="35"/>
  <c r="I18" i="35"/>
  <c r="I19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H38" i="35"/>
  <c r="H39" i="35"/>
  <c r="H40" i="35"/>
  <c r="H41" i="35"/>
  <c r="H40" i="34"/>
  <c r="H39" i="34"/>
  <c r="H38" i="34"/>
  <c r="H37" i="34"/>
  <c r="H36" i="34"/>
  <c r="H35" i="34"/>
  <c r="H34" i="34"/>
  <c r="H33" i="34"/>
  <c r="H32" i="34"/>
  <c r="H31" i="34"/>
  <c r="H30" i="34"/>
  <c r="H29" i="34"/>
  <c r="H28" i="34"/>
  <c r="H27" i="34"/>
  <c r="H26" i="34"/>
  <c r="H25" i="34"/>
  <c r="H24" i="34"/>
  <c r="H23" i="34"/>
  <c r="H22" i="34"/>
  <c r="H21" i="34"/>
  <c r="H20" i="34"/>
  <c r="H19" i="34"/>
  <c r="H18" i="34"/>
  <c r="H17" i="34"/>
  <c r="H16" i="34"/>
  <c r="H15" i="34"/>
  <c r="H14" i="34"/>
  <c r="H13" i="34"/>
  <c r="H12" i="34"/>
  <c r="H11" i="34"/>
  <c r="H10" i="34"/>
  <c r="H9" i="34"/>
  <c r="H8" i="34"/>
  <c r="H7" i="34"/>
  <c r="I41" i="34"/>
  <c r="I40" i="34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9" i="34"/>
  <c r="I8" i="34"/>
  <c r="I7" i="34"/>
  <c r="H41" i="34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H7" i="31"/>
  <c r="H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10" i="35"/>
  <c r="N9" i="35"/>
  <c r="N8" i="35"/>
  <c r="N7" i="35"/>
  <c r="N7" i="34"/>
  <c r="N8" i="34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40" i="34"/>
  <c r="N41" i="34"/>
  <c r="N41" i="33"/>
  <c r="M41" i="33"/>
  <c r="L41" i="33"/>
  <c r="K41" i="33"/>
  <c r="J41" i="33"/>
  <c r="I41" i="33"/>
  <c r="H41" i="33"/>
  <c r="N40" i="33"/>
  <c r="M40" i="33"/>
  <c r="L40" i="33"/>
  <c r="K40" i="33"/>
  <c r="J40" i="33"/>
  <c r="I40" i="33"/>
  <c r="H40" i="33"/>
  <c r="N39" i="33"/>
  <c r="M39" i="33"/>
  <c r="L39" i="33"/>
  <c r="K39" i="33"/>
  <c r="J39" i="33"/>
  <c r="I39" i="33"/>
  <c r="H39" i="33"/>
  <c r="N38" i="33"/>
  <c r="M38" i="33"/>
  <c r="L38" i="33"/>
  <c r="K38" i="33"/>
  <c r="J38" i="33"/>
  <c r="I38" i="33"/>
  <c r="H38" i="33"/>
  <c r="N37" i="33"/>
  <c r="M37" i="33"/>
  <c r="L37" i="33"/>
  <c r="K37" i="33"/>
  <c r="J37" i="33"/>
  <c r="I37" i="33"/>
  <c r="H37" i="33"/>
  <c r="N36" i="33"/>
  <c r="M36" i="33"/>
  <c r="L36" i="33"/>
  <c r="K36" i="33"/>
  <c r="J36" i="33"/>
  <c r="I36" i="33"/>
  <c r="H36" i="33"/>
  <c r="N35" i="33"/>
  <c r="M35" i="33"/>
  <c r="L35" i="33"/>
  <c r="K35" i="33"/>
  <c r="J35" i="33"/>
  <c r="I35" i="33"/>
  <c r="H35" i="33"/>
  <c r="N34" i="33"/>
  <c r="M34" i="33"/>
  <c r="L34" i="33"/>
  <c r="K34" i="33"/>
  <c r="J34" i="33"/>
  <c r="I34" i="33"/>
  <c r="H34" i="33"/>
  <c r="N33" i="33"/>
  <c r="M33" i="33"/>
  <c r="L33" i="33"/>
  <c r="K33" i="33"/>
  <c r="J33" i="33"/>
  <c r="I33" i="33"/>
  <c r="H33" i="33"/>
  <c r="N32" i="33"/>
  <c r="M32" i="33"/>
  <c r="L32" i="33"/>
  <c r="K32" i="33"/>
  <c r="J32" i="33"/>
  <c r="I32" i="33"/>
  <c r="H32" i="33"/>
  <c r="N31" i="33"/>
  <c r="M31" i="33"/>
  <c r="L31" i="33"/>
  <c r="K31" i="33"/>
  <c r="J31" i="33"/>
  <c r="I31" i="33"/>
  <c r="H31" i="33"/>
  <c r="N30" i="33"/>
  <c r="M30" i="33"/>
  <c r="L30" i="33"/>
  <c r="K30" i="33"/>
  <c r="J30" i="33"/>
  <c r="I30" i="33"/>
  <c r="H30" i="33"/>
  <c r="N29" i="33"/>
  <c r="M29" i="33"/>
  <c r="L29" i="33"/>
  <c r="K29" i="33"/>
  <c r="J29" i="33"/>
  <c r="I29" i="33"/>
  <c r="H29" i="33"/>
  <c r="N28" i="33"/>
  <c r="M28" i="33"/>
  <c r="L28" i="33"/>
  <c r="K28" i="33"/>
  <c r="J28" i="33"/>
  <c r="I28" i="33"/>
  <c r="H28" i="33"/>
  <c r="N27" i="33"/>
  <c r="M27" i="33"/>
  <c r="L27" i="33"/>
  <c r="K27" i="33"/>
  <c r="J27" i="33"/>
  <c r="I27" i="33"/>
  <c r="H27" i="33"/>
  <c r="N26" i="33"/>
  <c r="M26" i="33"/>
  <c r="L26" i="33"/>
  <c r="K26" i="33"/>
  <c r="J26" i="33"/>
  <c r="I26" i="33"/>
  <c r="H26" i="33"/>
  <c r="N25" i="33"/>
  <c r="M25" i="33"/>
  <c r="L25" i="33"/>
  <c r="K25" i="33"/>
  <c r="J25" i="33"/>
  <c r="I25" i="33"/>
  <c r="H25" i="33"/>
  <c r="N24" i="33"/>
  <c r="M24" i="33"/>
  <c r="L24" i="33"/>
  <c r="K24" i="33"/>
  <c r="J24" i="33"/>
  <c r="I24" i="33"/>
  <c r="H24" i="33"/>
  <c r="N23" i="33"/>
  <c r="M23" i="33"/>
  <c r="L23" i="33"/>
  <c r="K23" i="33"/>
  <c r="J23" i="33"/>
  <c r="I23" i="33"/>
  <c r="H23" i="33"/>
  <c r="N22" i="33"/>
  <c r="M22" i="33"/>
  <c r="L22" i="33"/>
  <c r="K22" i="33"/>
  <c r="J22" i="33"/>
  <c r="I22" i="33"/>
  <c r="H22" i="33"/>
  <c r="N21" i="33"/>
  <c r="M21" i="33"/>
  <c r="L21" i="33"/>
  <c r="K21" i="33"/>
  <c r="J21" i="33"/>
  <c r="I21" i="33"/>
  <c r="H21" i="33"/>
  <c r="N20" i="33"/>
  <c r="M20" i="33"/>
  <c r="L20" i="33"/>
  <c r="K20" i="33"/>
  <c r="J20" i="33"/>
  <c r="I20" i="33"/>
  <c r="H20" i="33"/>
  <c r="N19" i="33"/>
  <c r="M19" i="33"/>
  <c r="L19" i="33"/>
  <c r="K19" i="33"/>
  <c r="J19" i="33"/>
  <c r="I19" i="33"/>
  <c r="H19" i="33"/>
  <c r="N18" i="33"/>
  <c r="M18" i="33"/>
  <c r="L18" i="33"/>
  <c r="K18" i="33"/>
  <c r="J18" i="33"/>
  <c r="I18" i="33"/>
  <c r="H18" i="33"/>
  <c r="N17" i="33"/>
  <c r="M17" i="33"/>
  <c r="L17" i="33"/>
  <c r="K17" i="33"/>
  <c r="J17" i="33"/>
  <c r="I17" i="33"/>
  <c r="H17" i="33"/>
  <c r="N16" i="33"/>
  <c r="M16" i="33"/>
  <c r="L16" i="33"/>
  <c r="K16" i="33"/>
  <c r="J16" i="33"/>
  <c r="I16" i="33"/>
  <c r="H16" i="33"/>
  <c r="N15" i="33"/>
  <c r="M15" i="33"/>
  <c r="L15" i="33"/>
  <c r="K15" i="33"/>
  <c r="J15" i="33"/>
  <c r="I15" i="33"/>
  <c r="H15" i="33"/>
  <c r="N14" i="33"/>
  <c r="M14" i="33"/>
  <c r="L14" i="33"/>
  <c r="K14" i="33"/>
  <c r="J14" i="33"/>
  <c r="I14" i="33"/>
  <c r="H14" i="33"/>
  <c r="N13" i="33"/>
  <c r="M13" i="33"/>
  <c r="L13" i="33"/>
  <c r="K13" i="33"/>
  <c r="J13" i="33"/>
  <c r="I13" i="33"/>
  <c r="H13" i="33"/>
  <c r="N12" i="33"/>
  <c r="M12" i="33"/>
  <c r="L12" i="33"/>
  <c r="K12" i="33"/>
  <c r="J12" i="33"/>
  <c r="I12" i="33"/>
  <c r="H12" i="33"/>
  <c r="N11" i="33"/>
  <c r="M11" i="33"/>
  <c r="L11" i="33"/>
  <c r="K11" i="33"/>
  <c r="J11" i="33"/>
  <c r="I11" i="33"/>
  <c r="H11" i="33"/>
  <c r="N10" i="33"/>
  <c r="M10" i="33"/>
  <c r="L10" i="33"/>
  <c r="K10" i="33"/>
  <c r="J10" i="33"/>
  <c r="I10" i="33"/>
  <c r="H10" i="33"/>
  <c r="N9" i="33"/>
  <c r="M9" i="33"/>
  <c r="L9" i="33"/>
  <c r="K9" i="33"/>
  <c r="J9" i="33"/>
  <c r="I9" i="33"/>
  <c r="H9" i="33"/>
  <c r="N8" i="33"/>
  <c r="M8" i="33"/>
  <c r="L8" i="33"/>
  <c r="K8" i="33"/>
  <c r="J8" i="33"/>
  <c r="I8" i="33"/>
  <c r="H8" i="33"/>
  <c r="N7" i="33"/>
  <c r="M7" i="33"/>
  <c r="L7" i="33"/>
  <c r="K7" i="33"/>
  <c r="J7" i="33"/>
  <c r="I7" i="33"/>
  <c r="H7" i="33"/>
  <c r="N7" i="32"/>
  <c r="M7" i="32"/>
  <c r="L7" i="32"/>
  <c r="K7" i="32"/>
  <c r="J7" i="32"/>
  <c r="I7" i="32"/>
  <c r="H7" i="32"/>
  <c r="N8" i="32"/>
  <c r="M8" i="32"/>
  <c r="L8" i="32"/>
  <c r="K8" i="32"/>
  <c r="J8" i="32"/>
  <c r="I8" i="32"/>
  <c r="H8" i="32"/>
  <c r="N9" i="32"/>
  <c r="M9" i="32"/>
  <c r="L9" i="32"/>
  <c r="K9" i="32"/>
  <c r="J9" i="32"/>
  <c r="I9" i="32"/>
  <c r="H9" i="32"/>
  <c r="N10" i="32"/>
  <c r="M10" i="32"/>
  <c r="L10" i="32"/>
  <c r="K10" i="32"/>
  <c r="J10" i="32"/>
  <c r="I10" i="32"/>
  <c r="H10" i="32"/>
  <c r="N11" i="32"/>
  <c r="M11" i="32"/>
  <c r="L11" i="32"/>
  <c r="K11" i="32"/>
  <c r="J11" i="32"/>
  <c r="I11" i="32"/>
  <c r="H11" i="32"/>
  <c r="N12" i="32"/>
  <c r="M12" i="32"/>
  <c r="L12" i="32"/>
  <c r="K12" i="32"/>
  <c r="J12" i="32"/>
  <c r="I12" i="32"/>
  <c r="H12" i="32"/>
  <c r="N13" i="32"/>
  <c r="M13" i="32"/>
  <c r="L13" i="32"/>
  <c r="K13" i="32"/>
  <c r="J13" i="32"/>
  <c r="I13" i="32"/>
  <c r="H13" i="32"/>
  <c r="N14" i="32"/>
  <c r="M14" i="32"/>
  <c r="L14" i="32"/>
  <c r="K14" i="32"/>
  <c r="J14" i="32"/>
  <c r="I14" i="32"/>
  <c r="H14" i="32"/>
  <c r="N15" i="32"/>
  <c r="M15" i="32"/>
  <c r="L15" i="32"/>
  <c r="K15" i="32"/>
  <c r="J15" i="32"/>
  <c r="I15" i="32"/>
  <c r="H15" i="32"/>
  <c r="N16" i="32"/>
  <c r="M16" i="32"/>
  <c r="L16" i="32"/>
  <c r="K16" i="32"/>
  <c r="J16" i="32"/>
  <c r="I16" i="32"/>
  <c r="H16" i="32"/>
  <c r="N17" i="32"/>
  <c r="M17" i="32"/>
  <c r="L17" i="32"/>
  <c r="K17" i="32"/>
  <c r="J17" i="32"/>
  <c r="I17" i="32"/>
  <c r="H17" i="32"/>
  <c r="N18" i="32"/>
  <c r="M18" i="32"/>
  <c r="L18" i="32"/>
  <c r="K18" i="32"/>
  <c r="J18" i="32"/>
  <c r="I18" i="32"/>
  <c r="H18" i="32"/>
  <c r="N19" i="32"/>
  <c r="M19" i="32"/>
  <c r="L19" i="32"/>
  <c r="K19" i="32"/>
  <c r="J19" i="32"/>
  <c r="I19" i="32"/>
  <c r="H19" i="32"/>
  <c r="N20" i="32"/>
  <c r="M20" i="32"/>
  <c r="L20" i="32"/>
  <c r="K20" i="32"/>
  <c r="J20" i="32"/>
  <c r="I20" i="32"/>
  <c r="H20" i="32"/>
  <c r="N21" i="32"/>
  <c r="M21" i="32"/>
  <c r="L21" i="32"/>
  <c r="K21" i="32"/>
  <c r="J21" i="32"/>
  <c r="I21" i="32"/>
  <c r="H21" i="32"/>
  <c r="N22" i="32"/>
  <c r="M22" i="32"/>
  <c r="L22" i="32"/>
  <c r="K22" i="32"/>
  <c r="J22" i="32"/>
  <c r="I22" i="32"/>
  <c r="H22" i="32"/>
  <c r="N23" i="32"/>
  <c r="M23" i="32"/>
  <c r="L23" i="32"/>
  <c r="K23" i="32"/>
  <c r="J23" i="32"/>
  <c r="I23" i="32"/>
  <c r="H23" i="32"/>
  <c r="N24" i="32"/>
  <c r="M24" i="32"/>
  <c r="L24" i="32"/>
  <c r="K24" i="32"/>
  <c r="J24" i="32"/>
  <c r="I24" i="32"/>
  <c r="H24" i="32"/>
  <c r="N25" i="32"/>
  <c r="M25" i="32"/>
  <c r="L25" i="32"/>
  <c r="K25" i="32"/>
  <c r="J25" i="32"/>
  <c r="I25" i="32"/>
  <c r="H25" i="32"/>
  <c r="N26" i="32"/>
  <c r="M26" i="32"/>
  <c r="L26" i="32"/>
  <c r="K26" i="32"/>
  <c r="J26" i="32"/>
  <c r="I26" i="32"/>
  <c r="H26" i="32"/>
  <c r="N27" i="32"/>
  <c r="M27" i="32"/>
  <c r="L27" i="32"/>
  <c r="K27" i="32"/>
  <c r="J27" i="32"/>
  <c r="I27" i="32"/>
  <c r="H27" i="32"/>
  <c r="N28" i="32"/>
  <c r="M28" i="32"/>
  <c r="L28" i="32"/>
  <c r="K28" i="32"/>
  <c r="J28" i="32"/>
  <c r="I28" i="32"/>
  <c r="H28" i="32"/>
  <c r="N29" i="32"/>
  <c r="M29" i="32"/>
  <c r="L29" i="32"/>
  <c r="K29" i="32"/>
  <c r="J29" i="32"/>
  <c r="I29" i="32"/>
  <c r="H29" i="32"/>
  <c r="N30" i="32"/>
  <c r="M30" i="32"/>
  <c r="L30" i="32"/>
  <c r="K30" i="32"/>
  <c r="J30" i="32"/>
  <c r="I30" i="32"/>
  <c r="H30" i="32"/>
  <c r="N31" i="32"/>
  <c r="M31" i="32"/>
  <c r="L31" i="32"/>
  <c r="K31" i="32"/>
  <c r="J31" i="32"/>
  <c r="I31" i="32"/>
  <c r="H31" i="32"/>
  <c r="N32" i="32"/>
  <c r="M32" i="32"/>
  <c r="L32" i="32"/>
  <c r="K32" i="32"/>
  <c r="J32" i="32"/>
  <c r="I32" i="32"/>
  <c r="H32" i="32"/>
  <c r="N33" i="32"/>
  <c r="M33" i="32"/>
  <c r="L33" i="32"/>
  <c r="K33" i="32"/>
  <c r="J33" i="32"/>
  <c r="I33" i="32"/>
  <c r="H33" i="32"/>
  <c r="N34" i="32"/>
  <c r="M34" i="32"/>
  <c r="L34" i="32"/>
  <c r="K34" i="32"/>
  <c r="J34" i="32"/>
  <c r="I34" i="32"/>
  <c r="H34" i="32"/>
  <c r="N35" i="32"/>
  <c r="M35" i="32"/>
  <c r="L35" i="32"/>
  <c r="K35" i="32"/>
  <c r="J35" i="32"/>
  <c r="I35" i="32"/>
  <c r="H35" i="32"/>
  <c r="N36" i="32"/>
  <c r="M36" i="32"/>
  <c r="L36" i="32"/>
  <c r="K36" i="32"/>
  <c r="J36" i="32"/>
  <c r="I36" i="32"/>
  <c r="H36" i="32"/>
  <c r="N37" i="32"/>
  <c r="M37" i="32"/>
  <c r="L37" i="32"/>
  <c r="K37" i="32"/>
  <c r="J37" i="32"/>
  <c r="I37" i="32"/>
  <c r="H37" i="32"/>
  <c r="N38" i="32"/>
  <c r="M38" i="32"/>
  <c r="L38" i="32"/>
  <c r="K38" i="32"/>
  <c r="J38" i="32"/>
  <c r="I38" i="32"/>
  <c r="H38" i="32"/>
  <c r="N39" i="32"/>
  <c r="M39" i="32"/>
  <c r="L39" i="32"/>
  <c r="K39" i="32"/>
  <c r="J39" i="32"/>
  <c r="I39" i="32"/>
  <c r="H39" i="32"/>
  <c r="N40" i="32"/>
  <c r="M40" i="32"/>
  <c r="L40" i="32"/>
  <c r="K40" i="32"/>
  <c r="J40" i="32"/>
  <c r="I40" i="32"/>
  <c r="H40" i="32"/>
  <c r="N41" i="32"/>
  <c r="M41" i="32"/>
  <c r="L41" i="32"/>
  <c r="K41" i="32"/>
  <c r="J41" i="32"/>
  <c r="I41" i="32"/>
  <c r="H41" i="32"/>
  <c r="N41" i="31"/>
  <c r="N40" i="31"/>
  <c r="N39" i="31"/>
  <c r="N38" i="31"/>
  <c r="N37" i="31"/>
  <c r="N36" i="31"/>
  <c r="N35" i="31"/>
  <c r="N34" i="31"/>
  <c r="N33" i="31"/>
  <c r="N32" i="31"/>
  <c r="N31" i="31"/>
  <c r="N30" i="31"/>
  <c r="N29" i="31"/>
  <c r="N28" i="31"/>
  <c r="N27" i="31"/>
  <c r="N26" i="31"/>
  <c r="N25" i="31"/>
  <c r="N24" i="31"/>
  <c r="N23" i="31"/>
  <c r="N22" i="31"/>
  <c r="N21" i="31"/>
  <c r="N20" i="31"/>
  <c r="N19" i="31"/>
  <c r="N18" i="31"/>
  <c r="N17" i="31"/>
  <c r="N16" i="31"/>
  <c r="N15" i="31"/>
  <c r="N14" i="31"/>
  <c r="N13" i="31"/>
  <c r="N12" i="31"/>
  <c r="N11" i="31"/>
  <c r="N10" i="31"/>
  <c r="N9" i="31"/>
  <c r="N8" i="31"/>
  <c r="N7" i="31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H7" i="30"/>
  <c r="M33" i="1"/>
  <c r="N33" i="1"/>
  <c r="L33" i="1"/>
  <c r="M32" i="1"/>
  <c r="N32" i="1"/>
  <c r="L32" i="1"/>
  <c r="N7" i="29"/>
  <c r="M7" i="29"/>
  <c r="L7" i="29"/>
  <c r="K7" i="29"/>
  <c r="J7" i="29"/>
  <c r="I7" i="29"/>
  <c r="H7" i="29"/>
  <c r="N8" i="29"/>
  <c r="M8" i="29"/>
  <c r="L8" i="29"/>
  <c r="K8" i="29"/>
  <c r="J8" i="29"/>
  <c r="I8" i="29"/>
  <c r="H8" i="29"/>
  <c r="N9" i="29"/>
  <c r="M9" i="29"/>
  <c r="L9" i="29"/>
  <c r="K9" i="29"/>
  <c r="J9" i="29"/>
  <c r="I9" i="29"/>
  <c r="H9" i="29"/>
  <c r="N10" i="29"/>
  <c r="M10" i="29"/>
  <c r="L10" i="29"/>
  <c r="K10" i="29"/>
  <c r="J10" i="29"/>
  <c r="I10" i="29"/>
  <c r="H10" i="29"/>
  <c r="N11" i="29"/>
  <c r="M11" i="29"/>
  <c r="L11" i="29"/>
  <c r="K11" i="29"/>
  <c r="J11" i="29"/>
  <c r="I11" i="29"/>
  <c r="H11" i="29"/>
  <c r="N12" i="29"/>
  <c r="M12" i="29"/>
  <c r="L12" i="29"/>
  <c r="K12" i="29"/>
  <c r="J12" i="29"/>
  <c r="I12" i="29"/>
  <c r="H12" i="29"/>
  <c r="N13" i="29"/>
  <c r="M13" i="29"/>
  <c r="L13" i="29"/>
  <c r="K13" i="29"/>
  <c r="J13" i="29"/>
  <c r="I13" i="29"/>
  <c r="H13" i="29"/>
  <c r="N14" i="29"/>
  <c r="M14" i="29"/>
  <c r="L14" i="29"/>
  <c r="K14" i="29"/>
  <c r="J14" i="29"/>
  <c r="I14" i="29"/>
  <c r="H14" i="29"/>
  <c r="N15" i="29"/>
  <c r="M15" i="29"/>
  <c r="L15" i="29"/>
  <c r="K15" i="29"/>
  <c r="J15" i="29"/>
  <c r="I15" i="29"/>
  <c r="H15" i="29"/>
  <c r="N16" i="29"/>
  <c r="M16" i="29"/>
  <c r="L16" i="29"/>
  <c r="K16" i="29"/>
  <c r="J16" i="29"/>
  <c r="I16" i="29"/>
  <c r="H16" i="29"/>
  <c r="N17" i="29"/>
  <c r="M17" i="29"/>
  <c r="L17" i="29"/>
  <c r="K17" i="29"/>
  <c r="J17" i="29"/>
  <c r="I17" i="29"/>
  <c r="H17" i="29"/>
  <c r="N18" i="29"/>
  <c r="M18" i="29"/>
  <c r="L18" i="29"/>
  <c r="K18" i="29"/>
  <c r="J18" i="29"/>
  <c r="I18" i="29"/>
  <c r="H18" i="29"/>
  <c r="N19" i="29"/>
  <c r="M19" i="29"/>
  <c r="L19" i="29"/>
  <c r="K19" i="29"/>
  <c r="J19" i="29"/>
  <c r="I19" i="29"/>
  <c r="H19" i="29"/>
  <c r="N20" i="29"/>
  <c r="M20" i="29"/>
  <c r="L20" i="29"/>
  <c r="K20" i="29"/>
  <c r="J20" i="29"/>
  <c r="I20" i="29"/>
  <c r="H20" i="29"/>
  <c r="N21" i="29"/>
  <c r="M21" i="29"/>
  <c r="L21" i="29"/>
  <c r="K21" i="29"/>
  <c r="J21" i="29"/>
  <c r="I21" i="29"/>
  <c r="H21" i="29"/>
  <c r="N22" i="29"/>
  <c r="M22" i="29"/>
  <c r="L22" i="29"/>
  <c r="K22" i="29"/>
  <c r="J22" i="29"/>
  <c r="I22" i="29"/>
  <c r="H22" i="29"/>
  <c r="N23" i="29"/>
  <c r="M23" i="29"/>
  <c r="L23" i="29"/>
  <c r="K23" i="29"/>
  <c r="J23" i="29"/>
  <c r="I23" i="29"/>
  <c r="H23" i="29"/>
  <c r="N24" i="29"/>
  <c r="M24" i="29"/>
  <c r="L24" i="29"/>
  <c r="K24" i="29"/>
  <c r="J24" i="29"/>
  <c r="I24" i="29"/>
  <c r="H24" i="29"/>
  <c r="N25" i="29"/>
  <c r="M25" i="29"/>
  <c r="L25" i="29"/>
  <c r="K25" i="29"/>
  <c r="J25" i="29"/>
  <c r="I25" i="29"/>
  <c r="H25" i="29"/>
  <c r="N26" i="29"/>
  <c r="M26" i="29"/>
  <c r="L26" i="29"/>
  <c r="K26" i="29"/>
  <c r="J26" i="29"/>
  <c r="I26" i="29"/>
  <c r="H26" i="29"/>
  <c r="N27" i="29"/>
  <c r="M27" i="29"/>
  <c r="T32" i="1" s="1"/>
  <c r="L27" i="29"/>
  <c r="K27" i="29"/>
  <c r="R32" i="1" s="1"/>
  <c r="J27" i="29"/>
  <c r="I27" i="29"/>
  <c r="P32" i="1" s="1"/>
  <c r="H27" i="29"/>
  <c r="O32" i="1" s="1"/>
  <c r="N28" i="29"/>
  <c r="M28" i="29"/>
  <c r="L28" i="29"/>
  <c r="S32" i="1" s="1"/>
  <c r="K28" i="29"/>
  <c r="J28" i="29"/>
  <c r="I28" i="29"/>
  <c r="H28" i="29"/>
  <c r="N29" i="29"/>
  <c r="M29" i="29"/>
  <c r="L29" i="29"/>
  <c r="K29" i="29"/>
  <c r="J29" i="29"/>
  <c r="I29" i="29"/>
  <c r="H29" i="29"/>
  <c r="N30" i="29"/>
  <c r="M30" i="29"/>
  <c r="L30" i="29"/>
  <c r="K30" i="29"/>
  <c r="J30" i="29"/>
  <c r="Q32" i="1" s="1"/>
  <c r="I30" i="29"/>
  <c r="H30" i="29"/>
  <c r="N31" i="29"/>
  <c r="M31" i="29"/>
  <c r="L31" i="29"/>
  <c r="K31" i="29"/>
  <c r="J31" i="29"/>
  <c r="I31" i="29"/>
  <c r="H31" i="29"/>
  <c r="N32" i="29"/>
  <c r="M32" i="29"/>
  <c r="L32" i="29"/>
  <c r="K32" i="29"/>
  <c r="J32" i="29"/>
  <c r="I32" i="29"/>
  <c r="H32" i="29"/>
  <c r="N33" i="29"/>
  <c r="M33" i="29"/>
  <c r="L33" i="29"/>
  <c r="K33" i="29"/>
  <c r="J33" i="29"/>
  <c r="I33" i="29"/>
  <c r="H33" i="29"/>
  <c r="N34" i="29"/>
  <c r="M34" i="29"/>
  <c r="L34" i="29"/>
  <c r="K34" i="29"/>
  <c r="J34" i="29"/>
  <c r="I34" i="29"/>
  <c r="H34" i="29"/>
  <c r="N35" i="29"/>
  <c r="M35" i="29"/>
  <c r="L35" i="29"/>
  <c r="K35" i="29"/>
  <c r="J35" i="29"/>
  <c r="I35" i="29"/>
  <c r="H35" i="29"/>
  <c r="N36" i="29"/>
  <c r="M36" i="29"/>
  <c r="L36" i="29"/>
  <c r="K36" i="29"/>
  <c r="J36" i="29"/>
  <c r="I36" i="29"/>
  <c r="H36" i="29"/>
  <c r="N37" i="29"/>
  <c r="M37" i="29"/>
  <c r="L37" i="29"/>
  <c r="K37" i="29"/>
  <c r="J37" i="29"/>
  <c r="I37" i="29"/>
  <c r="H37" i="29"/>
  <c r="N38" i="29"/>
  <c r="M38" i="29"/>
  <c r="L38" i="29"/>
  <c r="K38" i="29"/>
  <c r="J38" i="29"/>
  <c r="I38" i="29"/>
  <c r="H38" i="29"/>
  <c r="N39" i="29"/>
  <c r="M39" i="29"/>
  <c r="L39" i="29"/>
  <c r="K39" i="29"/>
  <c r="J39" i="29"/>
  <c r="I39" i="29"/>
  <c r="H39" i="29"/>
  <c r="N40" i="29"/>
  <c r="M40" i="29"/>
  <c r="L40" i="29"/>
  <c r="K40" i="29"/>
  <c r="J40" i="29"/>
  <c r="I40" i="29"/>
  <c r="H40" i="29"/>
  <c r="N41" i="29"/>
  <c r="M41" i="29"/>
  <c r="L41" i="29"/>
  <c r="K41" i="29"/>
  <c r="J41" i="29"/>
  <c r="I41" i="29"/>
  <c r="H41" i="29"/>
  <c r="M31" i="1"/>
  <c r="N31" i="1"/>
  <c r="O31" i="1"/>
  <c r="P31" i="1"/>
  <c r="L31" i="1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H15" i="28"/>
  <c r="H14" i="28"/>
  <c r="H13" i="28"/>
  <c r="H12" i="28"/>
  <c r="H11" i="28"/>
  <c r="H10" i="28"/>
  <c r="H9" i="28"/>
  <c r="H8" i="28"/>
  <c r="H7" i="28"/>
  <c r="M30" i="1"/>
  <c r="N30" i="1"/>
  <c r="O30" i="1"/>
  <c r="P30" i="1"/>
  <c r="Q30" i="1"/>
  <c r="R30" i="1"/>
  <c r="S30" i="1"/>
  <c r="T30" i="1"/>
  <c r="L30" i="1"/>
  <c r="N41" i="27"/>
  <c r="M41" i="27"/>
  <c r="L41" i="27"/>
  <c r="K41" i="27"/>
  <c r="J41" i="27"/>
  <c r="I41" i="27"/>
  <c r="H41" i="27"/>
  <c r="N40" i="27"/>
  <c r="M40" i="27"/>
  <c r="L40" i="27"/>
  <c r="K40" i="27"/>
  <c r="J40" i="27"/>
  <c r="I40" i="27"/>
  <c r="H40" i="27"/>
  <c r="N39" i="27"/>
  <c r="M39" i="27"/>
  <c r="L39" i="27"/>
  <c r="K39" i="27"/>
  <c r="J39" i="27"/>
  <c r="I39" i="27"/>
  <c r="H39" i="27"/>
  <c r="N38" i="27"/>
  <c r="M38" i="27"/>
  <c r="L38" i="27"/>
  <c r="K38" i="27"/>
  <c r="J38" i="27"/>
  <c r="I38" i="27"/>
  <c r="H38" i="27"/>
  <c r="N37" i="27"/>
  <c r="M37" i="27"/>
  <c r="L37" i="27"/>
  <c r="K37" i="27"/>
  <c r="J37" i="27"/>
  <c r="I37" i="27"/>
  <c r="H37" i="27"/>
  <c r="N36" i="27"/>
  <c r="M36" i="27"/>
  <c r="L36" i="27"/>
  <c r="K36" i="27"/>
  <c r="J36" i="27"/>
  <c r="I36" i="27"/>
  <c r="H36" i="27"/>
  <c r="N35" i="27"/>
  <c r="M35" i="27"/>
  <c r="L35" i="27"/>
  <c r="K35" i="27"/>
  <c r="J35" i="27"/>
  <c r="I35" i="27"/>
  <c r="H35" i="27"/>
  <c r="N34" i="27"/>
  <c r="M34" i="27"/>
  <c r="L34" i="27"/>
  <c r="K34" i="27"/>
  <c r="J34" i="27"/>
  <c r="I34" i="27"/>
  <c r="H34" i="27"/>
  <c r="N33" i="27"/>
  <c r="M33" i="27"/>
  <c r="L33" i="27"/>
  <c r="K33" i="27"/>
  <c r="J33" i="27"/>
  <c r="I33" i="27"/>
  <c r="H33" i="27"/>
  <c r="N32" i="27"/>
  <c r="M32" i="27"/>
  <c r="L32" i="27"/>
  <c r="K32" i="27"/>
  <c r="J32" i="27"/>
  <c r="I32" i="27"/>
  <c r="H32" i="27"/>
  <c r="N31" i="27"/>
  <c r="M31" i="27"/>
  <c r="L31" i="27"/>
  <c r="K31" i="27"/>
  <c r="J31" i="27"/>
  <c r="I31" i="27"/>
  <c r="H31" i="27"/>
  <c r="N30" i="27"/>
  <c r="M30" i="27"/>
  <c r="L30" i="27"/>
  <c r="K30" i="27"/>
  <c r="J30" i="27"/>
  <c r="I30" i="27"/>
  <c r="H30" i="27"/>
  <c r="N29" i="27"/>
  <c r="M29" i="27"/>
  <c r="L29" i="27"/>
  <c r="K29" i="27"/>
  <c r="J29" i="27"/>
  <c r="I29" i="27"/>
  <c r="H29" i="27"/>
  <c r="N28" i="27"/>
  <c r="M28" i="27"/>
  <c r="L28" i="27"/>
  <c r="K28" i="27"/>
  <c r="J28" i="27"/>
  <c r="I28" i="27"/>
  <c r="H28" i="27"/>
  <c r="N27" i="27"/>
  <c r="M27" i="27"/>
  <c r="L27" i="27"/>
  <c r="K27" i="27"/>
  <c r="J27" i="27"/>
  <c r="I27" i="27"/>
  <c r="H27" i="27"/>
  <c r="N26" i="27"/>
  <c r="M26" i="27"/>
  <c r="L26" i="27"/>
  <c r="K26" i="27"/>
  <c r="J26" i="27"/>
  <c r="I26" i="27"/>
  <c r="H26" i="27"/>
  <c r="N25" i="27"/>
  <c r="M25" i="27"/>
  <c r="L25" i="27"/>
  <c r="K25" i="27"/>
  <c r="J25" i="27"/>
  <c r="I25" i="27"/>
  <c r="H25" i="27"/>
  <c r="N24" i="27"/>
  <c r="M24" i="27"/>
  <c r="L24" i="27"/>
  <c r="K24" i="27"/>
  <c r="J24" i="27"/>
  <c r="I24" i="27"/>
  <c r="H24" i="27"/>
  <c r="N23" i="27"/>
  <c r="M23" i="27"/>
  <c r="L23" i="27"/>
  <c r="K23" i="27"/>
  <c r="J23" i="27"/>
  <c r="I23" i="27"/>
  <c r="H23" i="27"/>
  <c r="N22" i="27"/>
  <c r="M22" i="27"/>
  <c r="L22" i="27"/>
  <c r="K22" i="27"/>
  <c r="J22" i="27"/>
  <c r="I22" i="27"/>
  <c r="H22" i="27"/>
  <c r="N21" i="27"/>
  <c r="M21" i="27"/>
  <c r="L21" i="27"/>
  <c r="K21" i="27"/>
  <c r="J21" i="27"/>
  <c r="I21" i="27"/>
  <c r="H21" i="27"/>
  <c r="N20" i="27"/>
  <c r="M20" i="27"/>
  <c r="L20" i="27"/>
  <c r="K20" i="27"/>
  <c r="J20" i="27"/>
  <c r="I20" i="27"/>
  <c r="H20" i="27"/>
  <c r="N19" i="27"/>
  <c r="M19" i="27"/>
  <c r="L19" i="27"/>
  <c r="K19" i="27"/>
  <c r="J19" i="27"/>
  <c r="I19" i="27"/>
  <c r="H19" i="27"/>
  <c r="N18" i="27"/>
  <c r="M18" i="27"/>
  <c r="L18" i="27"/>
  <c r="K18" i="27"/>
  <c r="J18" i="27"/>
  <c r="I18" i="27"/>
  <c r="H18" i="27"/>
  <c r="N17" i="27"/>
  <c r="M17" i="27"/>
  <c r="L17" i="27"/>
  <c r="K17" i="27"/>
  <c r="J17" i="27"/>
  <c r="I17" i="27"/>
  <c r="H17" i="27"/>
  <c r="N16" i="27"/>
  <c r="M16" i="27"/>
  <c r="L16" i="27"/>
  <c r="K16" i="27"/>
  <c r="J16" i="27"/>
  <c r="I16" i="27"/>
  <c r="H16" i="27"/>
  <c r="N15" i="27"/>
  <c r="M15" i="27"/>
  <c r="L15" i="27"/>
  <c r="K15" i="27"/>
  <c r="J15" i="27"/>
  <c r="I15" i="27"/>
  <c r="H15" i="27"/>
  <c r="N14" i="27"/>
  <c r="M14" i="27"/>
  <c r="L14" i="27"/>
  <c r="K14" i="27"/>
  <c r="J14" i="27"/>
  <c r="I14" i="27"/>
  <c r="H14" i="27"/>
  <c r="N13" i="27"/>
  <c r="M13" i="27"/>
  <c r="L13" i="27"/>
  <c r="K13" i="27"/>
  <c r="J13" i="27"/>
  <c r="I13" i="27"/>
  <c r="H13" i="27"/>
  <c r="N12" i="27"/>
  <c r="M12" i="27"/>
  <c r="L12" i="27"/>
  <c r="K12" i="27"/>
  <c r="J12" i="27"/>
  <c r="I12" i="27"/>
  <c r="H12" i="27"/>
  <c r="N11" i="27"/>
  <c r="M11" i="27"/>
  <c r="L11" i="27"/>
  <c r="K11" i="27"/>
  <c r="J11" i="27"/>
  <c r="I11" i="27"/>
  <c r="H11" i="27"/>
  <c r="N10" i="27"/>
  <c r="M10" i="27"/>
  <c r="L10" i="27"/>
  <c r="K10" i="27"/>
  <c r="J10" i="27"/>
  <c r="I10" i="27"/>
  <c r="H10" i="27"/>
  <c r="N9" i="27"/>
  <c r="M9" i="27"/>
  <c r="L9" i="27"/>
  <c r="K9" i="27"/>
  <c r="J9" i="27"/>
  <c r="I9" i="27"/>
  <c r="H9" i="27"/>
  <c r="N8" i="27"/>
  <c r="M8" i="27"/>
  <c r="L8" i="27"/>
  <c r="K8" i="27"/>
  <c r="J8" i="27"/>
  <c r="I8" i="27"/>
  <c r="H8" i="27"/>
  <c r="N7" i="27"/>
  <c r="M7" i="27"/>
  <c r="L7" i="27"/>
  <c r="K7" i="27"/>
  <c r="J7" i="27"/>
  <c r="I7" i="27"/>
  <c r="H7" i="27"/>
  <c r="M29" i="1"/>
  <c r="N29" i="1"/>
  <c r="O29" i="1"/>
  <c r="P29" i="1"/>
  <c r="Q29" i="1"/>
  <c r="R29" i="1"/>
  <c r="S29" i="1"/>
  <c r="T29" i="1"/>
  <c r="L29" i="1"/>
  <c r="N7" i="26"/>
  <c r="M7" i="26"/>
  <c r="L7" i="26"/>
  <c r="K7" i="26"/>
  <c r="J7" i="26"/>
  <c r="I7" i="26"/>
  <c r="H7" i="26"/>
  <c r="N8" i="26"/>
  <c r="M8" i="26"/>
  <c r="L8" i="26"/>
  <c r="K8" i="26"/>
  <c r="J8" i="26"/>
  <c r="I8" i="26"/>
  <c r="H8" i="26"/>
  <c r="N9" i="26"/>
  <c r="M9" i="26"/>
  <c r="L9" i="26"/>
  <c r="K9" i="26"/>
  <c r="J9" i="26"/>
  <c r="I9" i="26"/>
  <c r="H9" i="26"/>
  <c r="N10" i="26"/>
  <c r="M10" i="26"/>
  <c r="L10" i="26"/>
  <c r="K10" i="26"/>
  <c r="J10" i="26"/>
  <c r="I10" i="26"/>
  <c r="H10" i="26"/>
  <c r="N11" i="26"/>
  <c r="M11" i="26"/>
  <c r="L11" i="26"/>
  <c r="K11" i="26"/>
  <c r="J11" i="26"/>
  <c r="I11" i="26"/>
  <c r="H11" i="26"/>
  <c r="N12" i="26"/>
  <c r="M12" i="26"/>
  <c r="L12" i="26"/>
  <c r="K12" i="26"/>
  <c r="J12" i="26"/>
  <c r="I12" i="26"/>
  <c r="H12" i="26"/>
  <c r="N13" i="26"/>
  <c r="M13" i="26"/>
  <c r="L13" i="26"/>
  <c r="K13" i="26"/>
  <c r="J13" i="26"/>
  <c r="I13" i="26"/>
  <c r="H13" i="26"/>
  <c r="N14" i="26"/>
  <c r="M14" i="26"/>
  <c r="L14" i="26"/>
  <c r="K14" i="26"/>
  <c r="J14" i="26"/>
  <c r="I14" i="26"/>
  <c r="H14" i="26"/>
  <c r="N15" i="26"/>
  <c r="M15" i="26"/>
  <c r="L15" i="26"/>
  <c r="K15" i="26"/>
  <c r="J15" i="26"/>
  <c r="I15" i="26"/>
  <c r="H15" i="26"/>
  <c r="N16" i="26"/>
  <c r="M16" i="26"/>
  <c r="L16" i="26"/>
  <c r="K16" i="26"/>
  <c r="J16" i="26"/>
  <c r="I16" i="26"/>
  <c r="H16" i="26"/>
  <c r="N17" i="26"/>
  <c r="M17" i="26"/>
  <c r="L17" i="26"/>
  <c r="K17" i="26"/>
  <c r="J17" i="26"/>
  <c r="I17" i="26"/>
  <c r="H17" i="26"/>
  <c r="N18" i="26"/>
  <c r="M18" i="26"/>
  <c r="L18" i="26"/>
  <c r="K18" i="26"/>
  <c r="J18" i="26"/>
  <c r="I18" i="26"/>
  <c r="H18" i="26"/>
  <c r="N19" i="26"/>
  <c r="M19" i="26"/>
  <c r="L19" i="26"/>
  <c r="K19" i="26"/>
  <c r="J19" i="26"/>
  <c r="I19" i="26"/>
  <c r="H19" i="26"/>
  <c r="N20" i="26"/>
  <c r="M20" i="26"/>
  <c r="L20" i="26"/>
  <c r="K20" i="26"/>
  <c r="J20" i="26"/>
  <c r="I20" i="26"/>
  <c r="H20" i="26"/>
  <c r="N21" i="26"/>
  <c r="M21" i="26"/>
  <c r="L21" i="26"/>
  <c r="K21" i="26"/>
  <c r="J21" i="26"/>
  <c r="I21" i="26"/>
  <c r="H21" i="26"/>
  <c r="N22" i="26"/>
  <c r="M22" i="26"/>
  <c r="L22" i="26"/>
  <c r="K22" i="26"/>
  <c r="J22" i="26"/>
  <c r="I22" i="26"/>
  <c r="H22" i="26"/>
  <c r="N23" i="26"/>
  <c r="M23" i="26"/>
  <c r="L23" i="26"/>
  <c r="K23" i="26"/>
  <c r="J23" i="26"/>
  <c r="I23" i="26"/>
  <c r="H23" i="26"/>
  <c r="N24" i="26"/>
  <c r="M24" i="26"/>
  <c r="L24" i="26"/>
  <c r="K24" i="26"/>
  <c r="J24" i="26"/>
  <c r="I24" i="26"/>
  <c r="H24" i="26"/>
  <c r="N25" i="26"/>
  <c r="M25" i="26"/>
  <c r="L25" i="26"/>
  <c r="K25" i="26"/>
  <c r="J25" i="26"/>
  <c r="I25" i="26"/>
  <c r="H25" i="26"/>
  <c r="N26" i="26"/>
  <c r="M26" i="26"/>
  <c r="L26" i="26"/>
  <c r="K26" i="26"/>
  <c r="J26" i="26"/>
  <c r="I26" i="26"/>
  <c r="H26" i="26"/>
  <c r="N27" i="26"/>
  <c r="M27" i="26"/>
  <c r="L27" i="26"/>
  <c r="K27" i="26"/>
  <c r="J27" i="26"/>
  <c r="I27" i="26"/>
  <c r="H27" i="26"/>
  <c r="N28" i="26"/>
  <c r="M28" i="26"/>
  <c r="L28" i="26"/>
  <c r="K28" i="26"/>
  <c r="J28" i="26"/>
  <c r="I28" i="26"/>
  <c r="H28" i="26"/>
  <c r="N29" i="26"/>
  <c r="M29" i="26"/>
  <c r="L29" i="26"/>
  <c r="K29" i="26"/>
  <c r="J29" i="26"/>
  <c r="I29" i="26"/>
  <c r="H29" i="26"/>
  <c r="N30" i="26"/>
  <c r="M30" i="26"/>
  <c r="L30" i="26"/>
  <c r="K30" i="26"/>
  <c r="J30" i="26"/>
  <c r="I30" i="26"/>
  <c r="H30" i="26"/>
  <c r="N31" i="26"/>
  <c r="M31" i="26"/>
  <c r="L31" i="26"/>
  <c r="K31" i="26"/>
  <c r="J31" i="26"/>
  <c r="I31" i="26"/>
  <c r="H31" i="26"/>
  <c r="N32" i="26"/>
  <c r="M32" i="26"/>
  <c r="L32" i="26"/>
  <c r="K32" i="26"/>
  <c r="J32" i="26"/>
  <c r="I32" i="26"/>
  <c r="H32" i="26"/>
  <c r="N33" i="26"/>
  <c r="M33" i="26"/>
  <c r="L33" i="26"/>
  <c r="K33" i="26"/>
  <c r="J33" i="26"/>
  <c r="I33" i="26"/>
  <c r="H33" i="26"/>
  <c r="N34" i="26"/>
  <c r="M34" i="26"/>
  <c r="L34" i="26"/>
  <c r="K34" i="26"/>
  <c r="J34" i="26"/>
  <c r="I34" i="26"/>
  <c r="H34" i="26"/>
  <c r="N35" i="26"/>
  <c r="M35" i="26"/>
  <c r="L35" i="26"/>
  <c r="K35" i="26"/>
  <c r="J35" i="26"/>
  <c r="I35" i="26"/>
  <c r="H35" i="26"/>
  <c r="N36" i="26"/>
  <c r="M36" i="26"/>
  <c r="L36" i="26"/>
  <c r="K36" i="26"/>
  <c r="J36" i="26"/>
  <c r="I36" i="26"/>
  <c r="H36" i="26"/>
  <c r="N37" i="26"/>
  <c r="M37" i="26"/>
  <c r="L37" i="26"/>
  <c r="K37" i="26"/>
  <c r="J37" i="26"/>
  <c r="I37" i="26"/>
  <c r="H37" i="26"/>
  <c r="N38" i="26"/>
  <c r="M38" i="26"/>
  <c r="L38" i="26"/>
  <c r="K38" i="26"/>
  <c r="J38" i="26"/>
  <c r="I38" i="26"/>
  <c r="H38" i="26"/>
  <c r="N39" i="26"/>
  <c r="M39" i="26"/>
  <c r="L39" i="26"/>
  <c r="K39" i="26"/>
  <c r="J39" i="26"/>
  <c r="I39" i="26"/>
  <c r="H39" i="26"/>
  <c r="N40" i="26"/>
  <c r="M40" i="26"/>
  <c r="L40" i="26"/>
  <c r="K40" i="26"/>
  <c r="J40" i="26"/>
  <c r="I40" i="26"/>
  <c r="H40" i="26"/>
  <c r="N41" i="26"/>
  <c r="M41" i="26"/>
  <c r="L41" i="26"/>
  <c r="K41" i="26"/>
  <c r="J41" i="26"/>
  <c r="I41" i="26"/>
  <c r="H41" i="26"/>
  <c r="N42" i="26"/>
  <c r="M42" i="26"/>
  <c r="L42" i="26"/>
  <c r="K42" i="26"/>
  <c r="J42" i="26"/>
  <c r="I42" i="26"/>
  <c r="H42" i="26"/>
  <c r="M28" i="1"/>
  <c r="N28" i="1"/>
  <c r="O28" i="1"/>
  <c r="P28" i="1"/>
  <c r="L28" i="1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M27" i="1"/>
  <c r="N27" i="1"/>
  <c r="O27" i="1"/>
  <c r="P27" i="1"/>
  <c r="L27" i="1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7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6" i="24"/>
  <c r="N15" i="24"/>
  <c r="N14" i="24"/>
  <c r="N13" i="24"/>
  <c r="N12" i="24"/>
  <c r="N11" i="24"/>
  <c r="N10" i="24"/>
  <c r="N9" i="24"/>
  <c r="N8" i="24"/>
  <c r="N7" i="24"/>
  <c r="M26" i="1"/>
  <c r="N26" i="1"/>
  <c r="O26" i="1"/>
  <c r="P26" i="1"/>
  <c r="Q26" i="1"/>
  <c r="R26" i="1"/>
  <c r="S26" i="1"/>
  <c r="T26" i="1"/>
  <c r="L26" i="1"/>
  <c r="N7" i="23"/>
  <c r="M7" i="23"/>
  <c r="L7" i="23"/>
  <c r="K7" i="23"/>
  <c r="J7" i="23"/>
  <c r="I7" i="23"/>
  <c r="H7" i="23"/>
  <c r="N8" i="23"/>
  <c r="M8" i="23"/>
  <c r="L8" i="23"/>
  <c r="K8" i="23"/>
  <c r="J8" i="23"/>
  <c r="I8" i="23"/>
  <c r="H8" i="23"/>
  <c r="N9" i="23"/>
  <c r="M9" i="23"/>
  <c r="L9" i="23"/>
  <c r="K9" i="23"/>
  <c r="J9" i="23"/>
  <c r="I9" i="23"/>
  <c r="H9" i="23"/>
  <c r="N10" i="23"/>
  <c r="M10" i="23"/>
  <c r="L10" i="23"/>
  <c r="K10" i="23"/>
  <c r="J10" i="23"/>
  <c r="I10" i="23"/>
  <c r="H10" i="23"/>
  <c r="N11" i="23"/>
  <c r="M11" i="23"/>
  <c r="L11" i="23"/>
  <c r="K11" i="23"/>
  <c r="J11" i="23"/>
  <c r="I11" i="23"/>
  <c r="H11" i="23"/>
  <c r="N12" i="23"/>
  <c r="M12" i="23"/>
  <c r="L12" i="23"/>
  <c r="K12" i="23"/>
  <c r="J12" i="23"/>
  <c r="I12" i="23"/>
  <c r="H12" i="23"/>
  <c r="N13" i="23"/>
  <c r="M13" i="23"/>
  <c r="L13" i="23"/>
  <c r="K13" i="23"/>
  <c r="J13" i="23"/>
  <c r="I13" i="23"/>
  <c r="H13" i="23"/>
  <c r="N14" i="23"/>
  <c r="M14" i="23"/>
  <c r="L14" i="23"/>
  <c r="K14" i="23"/>
  <c r="J14" i="23"/>
  <c r="I14" i="23"/>
  <c r="H14" i="23"/>
  <c r="N15" i="23"/>
  <c r="M15" i="23"/>
  <c r="L15" i="23"/>
  <c r="K15" i="23"/>
  <c r="J15" i="23"/>
  <c r="I15" i="23"/>
  <c r="H15" i="23"/>
  <c r="N16" i="23"/>
  <c r="M16" i="23"/>
  <c r="L16" i="23"/>
  <c r="K16" i="23"/>
  <c r="J16" i="23"/>
  <c r="I16" i="23"/>
  <c r="H16" i="23"/>
  <c r="N17" i="23"/>
  <c r="M17" i="23"/>
  <c r="L17" i="23"/>
  <c r="K17" i="23"/>
  <c r="J17" i="23"/>
  <c r="I17" i="23"/>
  <c r="H17" i="23"/>
  <c r="N18" i="23"/>
  <c r="M18" i="23"/>
  <c r="L18" i="23"/>
  <c r="K18" i="23"/>
  <c r="J18" i="23"/>
  <c r="I18" i="23"/>
  <c r="H18" i="23"/>
  <c r="N19" i="23"/>
  <c r="M19" i="23"/>
  <c r="L19" i="23"/>
  <c r="K19" i="23"/>
  <c r="J19" i="23"/>
  <c r="I19" i="23"/>
  <c r="H19" i="23"/>
  <c r="N20" i="23"/>
  <c r="M20" i="23"/>
  <c r="L20" i="23"/>
  <c r="K20" i="23"/>
  <c r="J20" i="23"/>
  <c r="I20" i="23"/>
  <c r="H20" i="23"/>
  <c r="N21" i="23"/>
  <c r="M21" i="23"/>
  <c r="L21" i="23"/>
  <c r="K21" i="23"/>
  <c r="J21" i="23"/>
  <c r="I21" i="23"/>
  <c r="H21" i="23"/>
  <c r="N22" i="23"/>
  <c r="M22" i="23"/>
  <c r="L22" i="23"/>
  <c r="K22" i="23"/>
  <c r="J22" i="23"/>
  <c r="I22" i="23"/>
  <c r="H22" i="23"/>
  <c r="N23" i="23"/>
  <c r="M23" i="23"/>
  <c r="L23" i="23"/>
  <c r="K23" i="23"/>
  <c r="J23" i="23"/>
  <c r="I23" i="23"/>
  <c r="H23" i="23"/>
  <c r="N24" i="23"/>
  <c r="M24" i="23"/>
  <c r="L24" i="23"/>
  <c r="K24" i="23"/>
  <c r="J24" i="23"/>
  <c r="I24" i="23"/>
  <c r="H24" i="23"/>
  <c r="N25" i="23"/>
  <c r="M25" i="23"/>
  <c r="L25" i="23"/>
  <c r="K25" i="23"/>
  <c r="J25" i="23"/>
  <c r="I25" i="23"/>
  <c r="H25" i="23"/>
  <c r="N26" i="23"/>
  <c r="M26" i="23"/>
  <c r="L26" i="23"/>
  <c r="K26" i="23"/>
  <c r="J26" i="23"/>
  <c r="I26" i="23"/>
  <c r="H26" i="23"/>
  <c r="N27" i="23"/>
  <c r="M27" i="23"/>
  <c r="L27" i="23"/>
  <c r="K27" i="23"/>
  <c r="J27" i="23"/>
  <c r="I27" i="23"/>
  <c r="H27" i="23"/>
  <c r="N28" i="23"/>
  <c r="M28" i="23"/>
  <c r="L28" i="23"/>
  <c r="K28" i="23"/>
  <c r="J28" i="23"/>
  <c r="I28" i="23"/>
  <c r="H28" i="23"/>
  <c r="N29" i="23"/>
  <c r="M29" i="23"/>
  <c r="L29" i="23"/>
  <c r="K29" i="23"/>
  <c r="J29" i="23"/>
  <c r="I29" i="23"/>
  <c r="H29" i="23"/>
  <c r="N30" i="23"/>
  <c r="M30" i="23"/>
  <c r="L30" i="23"/>
  <c r="K30" i="23"/>
  <c r="J30" i="23"/>
  <c r="I30" i="23"/>
  <c r="H30" i="23"/>
  <c r="N31" i="23"/>
  <c r="M31" i="23"/>
  <c r="L31" i="23"/>
  <c r="K31" i="23"/>
  <c r="J31" i="23"/>
  <c r="I31" i="23"/>
  <c r="H31" i="23"/>
  <c r="N32" i="23"/>
  <c r="M32" i="23"/>
  <c r="L32" i="23"/>
  <c r="K32" i="23"/>
  <c r="J32" i="23"/>
  <c r="I32" i="23"/>
  <c r="H32" i="23"/>
  <c r="N33" i="23"/>
  <c r="M33" i="23"/>
  <c r="L33" i="23"/>
  <c r="K33" i="23"/>
  <c r="J33" i="23"/>
  <c r="I33" i="23"/>
  <c r="H33" i="23"/>
  <c r="N34" i="23"/>
  <c r="M34" i="23"/>
  <c r="L34" i="23"/>
  <c r="K34" i="23"/>
  <c r="J34" i="23"/>
  <c r="I34" i="23"/>
  <c r="H34" i="23"/>
  <c r="N35" i="23"/>
  <c r="M35" i="23"/>
  <c r="L35" i="23"/>
  <c r="K35" i="23"/>
  <c r="J35" i="23"/>
  <c r="I35" i="23"/>
  <c r="H35" i="23"/>
  <c r="N36" i="23"/>
  <c r="M36" i="23"/>
  <c r="L36" i="23"/>
  <c r="K36" i="23"/>
  <c r="J36" i="23"/>
  <c r="I36" i="23"/>
  <c r="H36" i="23"/>
  <c r="N37" i="23"/>
  <c r="M37" i="23"/>
  <c r="L37" i="23"/>
  <c r="K37" i="23"/>
  <c r="J37" i="23"/>
  <c r="I37" i="23"/>
  <c r="H37" i="23"/>
  <c r="N38" i="23"/>
  <c r="M38" i="23"/>
  <c r="L38" i="23"/>
  <c r="K38" i="23"/>
  <c r="J38" i="23"/>
  <c r="I38" i="23"/>
  <c r="H38" i="23"/>
  <c r="N39" i="23"/>
  <c r="M39" i="23"/>
  <c r="L39" i="23"/>
  <c r="K39" i="23"/>
  <c r="J39" i="23"/>
  <c r="I39" i="23"/>
  <c r="H39" i="23"/>
  <c r="N40" i="23"/>
  <c r="M40" i="23"/>
  <c r="L40" i="23"/>
  <c r="K40" i="23"/>
  <c r="J40" i="23"/>
  <c r="I40" i="23"/>
  <c r="H40" i="23"/>
  <c r="N41" i="23"/>
  <c r="M41" i="23"/>
  <c r="L41" i="23"/>
  <c r="K41" i="23"/>
  <c r="J41" i="23"/>
  <c r="I41" i="23"/>
  <c r="H41" i="23"/>
  <c r="N42" i="23"/>
  <c r="M42" i="23"/>
  <c r="L42" i="23"/>
  <c r="K42" i="23"/>
  <c r="J42" i="23"/>
  <c r="I42" i="23"/>
  <c r="H42" i="23"/>
  <c r="N43" i="23"/>
  <c r="M43" i="23"/>
  <c r="L43" i="23"/>
  <c r="K43" i="23"/>
  <c r="J43" i="23"/>
  <c r="I43" i="23"/>
  <c r="H43" i="23"/>
  <c r="M25" i="1"/>
  <c r="N25" i="1"/>
  <c r="O25" i="1"/>
  <c r="P25" i="1"/>
  <c r="L25" i="1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H7" i="22"/>
  <c r="H8" i="22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N41" i="22"/>
  <c r="N40" i="22"/>
  <c r="N39" i="22"/>
  <c r="N38" i="22"/>
  <c r="N37" i="22"/>
  <c r="N36" i="22"/>
  <c r="N35" i="22"/>
  <c r="N34" i="22"/>
  <c r="N33" i="22"/>
  <c r="N32" i="22"/>
  <c r="N31" i="22"/>
  <c r="N30" i="22"/>
  <c r="N29" i="22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M13" i="1"/>
  <c r="N13" i="1"/>
  <c r="O13" i="1"/>
  <c r="P13" i="1"/>
  <c r="Q13" i="1"/>
  <c r="R13" i="1"/>
  <c r="S13" i="1"/>
  <c r="T13" i="1"/>
  <c r="L13" i="1"/>
  <c r="N41" i="21"/>
  <c r="M41" i="21"/>
  <c r="L41" i="21"/>
  <c r="K41" i="21"/>
  <c r="J41" i="21"/>
  <c r="I41" i="21"/>
  <c r="H41" i="21"/>
  <c r="N40" i="21"/>
  <c r="M40" i="21"/>
  <c r="L40" i="21"/>
  <c r="K40" i="21"/>
  <c r="J40" i="21"/>
  <c r="I40" i="21"/>
  <c r="H40" i="21"/>
  <c r="N39" i="21"/>
  <c r="M39" i="21"/>
  <c r="L39" i="21"/>
  <c r="K39" i="21"/>
  <c r="J39" i="21"/>
  <c r="I39" i="21"/>
  <c r="H39" i="21"/>
  <c r="N38" i="21"/>
  <c r="M38" i="21"/>
  <c r="L38" i="21"/>
  <c r="K38" i="21"/>
  <c r="J38" i="21"/>
  <c r="I38" i="21"/>
  <c r="H38" i="21"/>
  <c r="N37" i="21"/>
  <c r="M37" i="21"/>
  <c r="L37" i="21"/>
  <c r="K37" i="21"/>
  <c r="J37" i="21"/>
  <c r="I37" i="21"/>
  <c r="H37" i="21"/>
  <c r="N36" i="21"/>
  <c r="M36" i="21"/>
  <c r="L36" i="21"/>
  <c r="K36" i="21"/>
  <c r="J36" i="21"/>
  <c r="I36" i="21"/>
  <c r="H36" i="21"/>
  <c r="N35" i="21"/>
  <c r="M35" i="21"/>
  <c r="L35" i="21"/>
  <c r="K35" i="21"/>
  <c r="J35" i="21"/>
  <c r="I35" i="21"/>
  <c r="H35" i="21"/>
  <c r="N34" i="21"/>
  <c r="M34" i="21"/>
  <c r="L34" i="21"/>
  <c r="K34" i="21"/>
  <c r="J34" i="21"/>
  <c r="I34" i="21"/>
  <c r="H34" i="21"/>
  <c r="N33" i="21"/>
  <c r="M33" i="21"/>
  <c r="L33" i="21"/>
  <c r="K33" i="21"/>
  <c r="J33" i="21"/>
  <c r="I33" i="21"/>
  <c r="H33" i="21"/>
  <c r="N32" i="21"/>
  <c r="M32" i="21"/>
  <c r="L32" i="21"/>
  <c r="K32" i="21"/>
  <c r="J32" i="21"/>
  <c r="I32" i="21"/>
  <c r="H32" i="21"/>
  <c r="N31" i="21"/>
  <c r="M31" i="21"/>
  <c r="L31" i="21"/>
  <c r="K31" i="21"/>
  <c r="J31" i="21"/>
  <c r="I31" i="21"/>
  <c r="H31" i="21"/>
  <c r="N30" i="21"/>
  <c r="M30" i="21"/>
  <c r="L30" i="21"/>
  <c r="K30" i="21"/>
  <c r="J30" i="21"/>
  <c r="I30" i="21"/>
  <c r="H30" i="21"/>
  <c r="N29" i="21"/>
  <c r="M29" i="21"/>
  <c r="L29" i="21"/>
  <c r="K29" i="21"/>
  <c r="J29" i="21"/>
  <c r="I29" i="21"/>
  <c r="H29" i="21"/>
  <c r="N28" i="21"/>
  <c r="M28" i="21"/>
  <c r="L28" i="21"/>
  <c r="K28" i="21"/>
  <c r="J28" i="21"/>
  <c r="I28" i="21"/>
  <c r="H28" i="21"/>
  <c r="N27" i="21"/>
  <c r="M27" i="21"/>
  <c r="L27" i="21"/>
  <c r="K27" i="21"/>
  <c r="J27" i="21"/>
  <c r="I27" i="21"/>
  <c r="H27" i="21"/>
  <c r="N26" i="21"/>
  <c r="M26" i="21"/>
  <c r="L26" i="21"/>
  <c r="K26" i="21"/>
  <c r="J26" i="21"/>
  <c r="I26" i="21"/>
  <c r="H26" i="21"/>
  <c r="N25" i="21"/>
  <c r="M25" i="21"/>
  <c r="L25" i="21"/>
  <c r="K25" i="21"/>
  <c r="J25" i="21"/>
  <c r="I25" i="21"/>
  <c r="H25" i="21"/>
  <c r="N24" i="21"/>
  <c r="M24" i="21"/>
  <c r="L24" i="21"/>
  <c r="K24" i="21"/>
  <c r="J24" i="21"/>
  <c r="I24" i="21"/>
  <c r="H24" i="21"/>
  <c r="N23" i="21"/>
  <c r="M23" i="21"/>
  <c r="L23" i="21"/>
  <c r="K23" i="21"/>
  <c r="J23" i="21"/>
  <c r="I23" i="21"/>
  <c r="H23" i="21"/>
  <c r="N22" i="21"/>
  <c r="M22" i="21"/>
  <c r="L22" i="21"/>
  <c r="K22" i="21"/>
  <c r="J22" i="21"/>
  <c r="I22" i="21"/>
  <c r="H22" i="21"/>
  <c r="N21" i="21"/>
  <c r="M21" i="21"/>
  <c r="L21" i="21"/>
  <c r="K21" i="21"/>
  <c r="J21" i="21"/>
  <c r="I21" i="21"/>
  <c r="H21" i="21"/>
  <c r="N20" i="21"/>
  <c r="M20" i="21"/>
  <c r="L20" i="21"/>
  <c r="K20" i="21"/>
  <c r="J20" i="21"/>
  <c r="I20" i="21"/>
  <c r="H20" i="21"/>
  <c r="N19" i="21"/>
  <c r="M19" i="21"/>
  <c r="L19" i="21"/>
  <c r="K19" i="21"/>
  <c r="J19" i="21"/>
  <c r="I19" i="21"/>
  <c r="H19" i="21"/>
  <c r="N18" i="21"/>
  <c r="M18" i="21"/>
  <c r="L18" i="21"/>
  <c r="K18" i="21"/>
  <c r="J18" i="21"/>
  <c r="I18" i="21"/>
  <c r="H18" i="21"/>
  <c r="N17" i="21"/>
  <c r="M17" i="21"/>
  <c r="L17" i="21"/>
  <c r="K17" i="21"/>
  <c r="J17" i="21"/>
  <c r="I17" i="21"/>
  <c r="H17" i="21"/>
  <c r="N16" i="21"/>
  <c r="M16" i="21"/>
  <c r="L16" i="21"/>
  <c r="K16" i="21"/>
  <c r="J16" i="21"/>
  <c r="I16" i="21"/>
  <c r="H16" i="21"/>
  <c r="N15" i="21"/>
  <c r="M15" i="21"/>
  <c r="L15" i="21"/>
  <c r="K15" i="21"/>
  <c r="J15" i="21"/>
  <c r="I15" i="21"/>
  <c r="H15" i="21"/>
  <c r="N14" i="21"/>
  <c r="M14" i="21"/>
  <c r="L14" i="21"/>
  <c r="K14" i="21"/>
  <c r="J14" i="21"/>
  <c r="I14" i="21"/>
  <c r="H14" i="21"/>
  <c r="N13" i="21"/>
  <c r="M13" i="21"/>
  <c r="L13" i="21"/>
  <c r="K13" i="21"/>
  <c r="J13" i="21"/>
  <c r="I13" i="21"/>
  <c r="H13" i="21"/>
  <c r="N12" i="21"/>
  <c r="M12" i="21"/>
  <c r="L12" i="21"/>
  <c r="K12" i="21"/>
  <c r="J12" i="21"/>
  <c r="I12" i="21"/>
  <c r="H12" i="21"/>
  <c r="N11" i="21"/>
  <c r="M11" i="21"/>
  <c r="L11" i="21"/>
  <c r="K11" i="21"/>
  <c r="J11" i="21"/>
  <c r="I11" i="21"/>
  <c r="H11" i="21"/>
  <c r="N10" i="21"/>
  <c r="M10" i="21"/>
  <c r="L10" i="21"/>
  <c r="K10" i="21"/>
  <c r="J10" i="21"/>
  <c r="I10" i="21"/>
  <c r="H10" i="21"/>
  <c r="N9" i="21"/>
  <c r="M9" i="21"/>
  <c r="L9" i="21"/>
  <c r="K9" i="21"/>
  <c r="J9" i="21"/>
  <c r="I9" i="21"/>
  <c r="H9" i="21"/>
  <c r="N8" i="21"/>
  <c r="M8" i="21"/>
  <c r="L8" i="21"/>
  <c r="K8" i="21"/>
  <c r="J8" i="21"/>
  <c r="I8" i="21"/>
  <c r="H8" i="21"/>
  <c r="N7" i="21"/>
  <c r="M7" i="21"/>
  <c r="L7" i="21"/>
  <c r="K7" i="21"/>
  <c r="J7" i="21"/>
  <c r="I7" i="21"/>
  <c r="H7" i="21"/>
  <c r="M24" i="1"/>
  <c r="N24" i="1"/>
  <c r="O24" i="1"/>
  <c r="P24" i="1"/>
  <c r="Q24" i="1"/>
  <c r="R24" i="1"/>
  <c r="S24" i="1"/>
  <c r="T24" i="1"/>
  <c r="M22" i="1"/>
  <c r="N22" i="1"/>
  <c r="O22" i="1"/>
  <c r="P22" i="1"/>
  <c r="Q22" i="1"/>
  <c r="R22" i="1"/>
  <c r="S22" i="1"/>
  <c r="T22" i="1"/>
  <c r="P20" i="1"/>
  <c r="Q20" i="1"/>
  <c r="R20" i="1"/>
  <c r="S20" i="1"/>
  <c r="T20" i="1"/>
  <c r="O20" i="1"/>
  <c r="P18" i="1"/>
  <c r="Q18" i="1"/>
  <c r="R18" i="1"/>
  <c r="S18" i="1"/>
  <c r="T18" i="1"/>
  <c r="O18" i="1"/>
  <c r="P16" i="1"/>
  <c r="Q16" i="1"/>
  <c r="R16" i="1"/>
  <c r="S16" i="1"/>
  <c r="T16" i="1"/>
  <c r="O16" i="1"/>
  <c r="P14" i="1"/>
  <c r="Q14" i="1"/>
  <c r="R14" i="1"/>
  <c r="S14" i="1"/>
  <c r="T14" i="1"/>
  <c r="O14" i="1"/>
  <c r="N41" i="18"/>
  <c r="M41" i="18"/>
  <c r="L41" i="18"/>
  <c r="K41" i="18"/>
  <c r="J41" i="18"/>
  <c r="I41" i="18"/>
  <c r="H41" i="18"/>
  <c r="N40" i="18"/>
  <c r="M40" i="18"/>
  <c r="L40" i="18"/>
  <c r="K40" i="18"/>
  <c r="J40" i="18"/>
  <c r="I40" i="18"/>
  <c r="H40" i="18"/>
  <c r="N39" i="18"/>
  <c r="M39" i="18"/>
  <c r="L39" i="18"/>
  <c r="K39" i="18"/>
  <c r="J39" i="18"/>
  <c r="I39" i="18"/>
  <c r="H39" i="18"/>
  <c r="N38" i="18"/>
  <c r="M38" i="18"/>
  <c r="L38" i="18"/>
  <c r="K38" i="18"/>
  <c r="J38" i="18"/>
  <c r="I38" i="18"/>
  <c r="H38" i="18"/>
  <c r="N37" i="18"/>
  <c r="M37" i="18"/>
  <c r="L37" i="18"/>
  <c r="K37" i="18"/>
  <c r="J37" i="18"/>
  <c r="I37" i="18"/>
  <c r="H37" i="18"/>
  <c r="N36" i="18"/>
  <c r="M36" i="18"/>
  <c r="L36" i="18"/>
  <c r="K36" i="18"/>
  <c r="J36" i="18"/>
  <c r="I36" i="18"/>
  <c r="H36" i="18"/>
  <c r="N35" i="18"/>
  <c r="M35" i="18"/>
  <c r="L35" i="18"/>
  <c r="K35" i="18"/>
  <c r="J35" i="18"/>
  <c r="I35" i="18"/>
  <c r="H35" i="18"/>
  <c r="N34" i="18"/>
  <c r="M34" i="18"/>
  <c r="L34" i="18"/>
  <c r="K34" i="18"/>
  <c r="J34" i="18"/>
  <c r="I34" i="18"/>
  <c r="H34" i="18"/>
  <c r="N33" i="18"/>
  <c r="M33" i="18"/>
  <c r="L33" i="18"/>
  <c r="K33" i="18"/>
  <c r="J33" i="18"/>
  <c r="I33" i="18"/>
  <c r="H33" i="18"/>
  <c r="N32" i="18"/>
  <c r="M32" i="18"/>
  <c r="L32" i="18"/>
  <c r="K32" i="18"/>
  <c r="J32" i="18"/>
  <c r="I32" i="18"/>
  <c r="H32" i="18"/>
  <c r="N31" i="18"/>
  <c r="M31" i="18"/>
  <c r="L31" i="18"/>
  <c r="K31" i="18"/>
  <c r="J31" i="18"/>
  <c r="I31" i="18"/>
  <c r="H31" i="18"/>
  <c r="N30" i="18"/>
  <c r="M30" i="18"/>
  <c r="L30" i="18"/>
  <c r="K30" i="18"/>
  <c r="J30" i="18"/>
  <c r="I30" i="18"/>
  <c r="H30" i="18"/>
  <c r="N29" i="18"/>
  <c r="M29" i="18"/>
  <c r="L29" i="18"/>
  <c r="K29" i="18"/>
  <c r="J29" i="18"/>
  <c r="I29" i="18"/>
  <c r="H29" i="18"/>
  <c r="N28" i="18"/>
  <c r="M28" i="18"/>
  <c r="L28" i="18"/>
  <c r="K28" i="18"/>
  <c r="J28" i="18"/>
  <c r="I28" i="18"/>
  <c r="H28" i="18"/>
  <c r="N27" i="18"/>
  <c r="M27" i="18"/>
  <c r="L27" i="18"/>
  <c r="K27" i="18"/>
  <c r="J27" i="18"/>
  <c r="I27" i="18"/>
  <c r="H27" i="18"/>
  <c r="N26" i="18"/>
  <c r="M26" i="18"/>
  <c r="L26" i="18"/>
  <c r="K26" i="18"/>
  <c r="J26" i="18"/>
  <c r="I26" i="18"/>
  <c r="H26" i="18"/>
  <c r="N25" i="18"/>
  <c r="M25" i="18"/>
  <c r="L25" i="18"/>
  <c r="K25" i="18"/>
  <c r="J25" i="18"/>
  <c r="I25" i="18"/>
  <c r="H25" i="18"/>
  <c r="N24" i="18"/>
  <c r="M24" i="18"/>
  <c r="L24" i="18"/>
  <c r="K24" i="18"/>
  <c r="J24" i="18"/>
  <c r="I24" i="18"/>
  <c r="H24" i="18"/>
  <c r="N23" i="18"/>
  <c r="M23" i="18"/>
  <c r="L23" i="18"/>
  <c r="K23" i="18"/>
  <c r="J23" i="18"/>
  <c r="I23" i="18"/>
  <c r="H23" i="18"/>
  <c r="N22" i="18"/>
  <c r="M22" i="18"/>
  <c r="L22" i="18"/>
  <c r="K22" i="18"/>
  <c r="J22" i="18"/>
  <c r="I22" i="18"/>
  <c r="H22" i="18"/>
  <c r="N21" i="18"/>
  <c r="M21" i="18"/>
  <c r="L21" i="18"/>
  <c r="K21" i="18"/>
  <c r="J21" i="18"/>
  <c r="I21" i="18"/>
  <c r="H21" i="18"/>
  <c r="N20" i="18"/>
  <c r="M20" i="18"/>
  <c r="L20" i="18"/>
  <c r="K20" i="18"/>
  <c r="J20" i="18"/>
  <c r="I20" i="18"/>
  <c r="H20" i="18"/>
  <c r="N19" i="18"/>
  <c r="M19" i="18"/>
  <c r="L19" i="18"/>
  <c r="K19" i="18"/>
  <c r="J19" i="18"/>
  <c r="I19" i="18"/>
  <c r="H19" i="18"/>
  <c r="N18" i="18"/>
  <c r="M18" i="18"/>
  <c r="L18" i="18"/>
  <c r="K18" i="18"/>
  <c r="J18" i="18"/>
  <c r="I18" i="18"/>
  <c r="H18" i="18"/>
  <c r="N17" i="18"/>
  <c r="M17" i="18"/>
  <c r="L17" i="18"/>
  <c r="K17" i="18"/>
  <c r="J17" i="18"/>
  <c r="I17" i="18"/>
  <c r="H17" i="18"/>
  <c r="N16" i="18"/>
  <c r="M16" i="18"/>
  <c r="L16" i="18"/>
  <c r="K16" i="18"/>
  <c r="J16" i="18"/>
  <c r="I16" i="18"/>
  <c r="H16" i="18"/>
  <c r="N15" i="18"/>
  <c r="M15" i="18"/>
  <c r="L15" i="18"/>
  <c r="K15" i="18"/>
  <c r="J15" i="18"/>
  <c r="I15" i="18"/>
  <c r="H15" i="18"/>
  <c r="N14" i="18"/>
  <c r="M14" i="18"/>
  <c r="L14" i="18"/>
  <c r="K14" i="18"/>
  <c r="J14" i="18"/>
  <c r="I14" i="18"/>
  <c r="H14" i="18"/>
  <c r="N13" i="18"/>
  <c r="M13" i="18"/>
  <c r="L13" i="18"/>
  <c r="K13" i="18"/>
  <c r="J13" i="18"/>
  <c r="I13" i="18"/>
  <c r="H13" i="18"/>
  <c r="N12" i="18"/>
  <c r="M12" i="18"/>
  <c r="L12" i="18"/>
  <c r="K12" i="18"/>
  <c r="J12" i="18"/>
  <c r="I12" i="18"/>
  <c r="H12" i="18"/>
  <c r="N11" i="18"/>
  <c r="M11" i="18"/>
  <c r="L11" i="18"/>
  <c r="K11" i="18"/>
  <c r="J11" i="18"/>
  <c r="I11" i="18"/>
  <c r="H11" i="18"/>
  <c r="N10" i="18"/>
  <c r="M10" i="18"/>
  <c r="L10" i="18"/>
  <c r="K10" i="18"/>
  <c r="J10" i="18"/>
  <c r="I10" i="18"/>
  <c r="H10" i="18"/>
  <c r="N9" i="18"/>
  <c r="M9" i="18"/>
  <c r="L9" i="18"/>
  <c r="K9" i="18"/>
  <c r="J9" i="18"/>
  <c r="I9" i="18"/>
  <c r="H9" i="18"/>
  <c r="N8" i="18"/>
  <c r="M8" i="18"/>
  <c r="L8" i="18"/>
  <c r="K8" i="18"/>
  <c r="J8" i="18"/>
  <c r="I8" i="18"/>
  <c r="H8" i="18"/>
  <c r="N7" i="18"/>
  <c r="M7" i="18"/>
  <c r="L7" i="18"/>
  <c r="K7" i="18"/>
  <c r="J7" i="18"/>
  <c r="I7" i="18"/>
  <c r="H7" i="18"/>
  <c r="N40" i="17"/>
  <c r="M40" i="17"/>
  <c r="L40" i="17"/>
  <c r="K40" i="17"/>
  <c r="J40" i="17"/>
  <c r="I40" i="17"/>
  <c r="H40" i="17"/>
  <c r="N39" i="17"/>
  <c r="M39" i="17"/>
  <c r="L39" i="17"/>
  <c r="K39" i="17"/>
  <c r="J39" i="17"/>
  <c r="I39" i="17"/>
  <c r="H39" i="17"/>
  <c r="N38" i="17"/>
  <c r="M38" i="17"/>
  <c r="L38" i="17"/>
  <c r="K38" i="17"/>
  <c r="J38" i="17"/>
  <c r="I38" i="17"/>
  <c r="H38" i="17"/>
  <c r="N37" i="17"/>
  <c r="M37" i="17"/>
  <c r="L37" i="17"/>
  <c r="K37" i="17"/>
  <c r="J37" i="17"/>
  <c r="I37" i="17"/>
  <c r="H37" i="17"/>
  <c r="N36" i="17"/>
  <c r="M36" i="17"/>
  <c r="L36" i="17"/>
  <c r="K36" i="17"/>
  <c r="J36" i="17"/>
  <c r="I36" i="17"/>
  <c r="H36" i="17"/>
  <c r="N35" i="17"/>
  <c r="M35" i="17"/>
  <c r="L35" i="17"/>
  <c r="K35" i="17"/>
  <c r="J35" i="17"/>
  <c r="I35" i="17"/>
  <c r="H35" i="17"/>
  <c r="N34" i="17"/>
  <c r="M34" i="17"/>
  <c r="L34" i="17"/>
  <c r="K34" i="17"/>
  <c r="J34" i="17"/>
  <c r="I34" i="17"/>
  <c r="H34" i="17"/>
  <c r="N33" i="17"/>
  <c r="M33" i="17"/>
  <c r="L33" i="17"/>
  <c r="K33" i="17"/>
  <c r="J33" i="17"/>
  <c r="I33" i="17"/>
  <c r="H33" i="17"/>
  <c r="N32" i="17"/>
  <c r="M32" i="17"/>
  <c r="L32" i="17"/>
  <c r="K32" i="17"/>
  <c r="J32" i="17"/>
  <c r="I32" i="17"/>
  <c r="H32" i="17"/>
  <c r="N31" i="17"/>
  <c r="M31" i="17"/>
  <c r="L31" i="17"/>
  <c r="K31" i="17"/>
  <c r="J31" i="17"/>
  <c r="I31" i="17"/>
  <c r="H31" i="17"/>
  <c r="N30" i="17"/>
  <c r="M30" i="17"/>
  <c r="L30" i="17"/>
  <c r="K30" i="17"/>
  <c r="J30" i="17"/>
  <c r="I30" i="17"/>
  <c r="H30" i="17"/>
  <c r="N29" i="17"/>
  <c r="M29" i="17"/>
  <c r="L29" i="17"/>
  <c r="K29" i="17"/>
  <c r="J29" i="17"/>
  <c r="I29" i="17"/>
  <c r="H29" i="17"/>
  <c r="N28" i="17"/>
  <c r="M28" i="17"/>
  <c r="L28" i="17"/>
  <c r="K28" i="17"/>
  <c r="J28" i="17"/>
  <c r="I28" i="17"/>
  <c r="H28" i="17"/>
  <c r="N27" i="17"/>
  <c r="M27" i="17"/>
  <c r="L27" i="17"/>
  <c r="K27" i="17"/>
  <c r="J27" i="17"/>
  <c r="I27" i="17"/>
  <c r="H27" i="17"/>
  <c r="N26" i="17"/>
  <c r="M26" i="17"/>
  <c r="L26" i="17"/>
  <c r="K26" i="17"/>
  <c r="J26" i="17"/>
  <c r="I26" i="17"/>
  <c r="H26" i="17"/>
  <c r="N25" i="17"/>
  <c r="M25" i="17"/>
  <c r="L25" i="17"/>
  <c r="K25" i="17"/>
  <c r="J25" i="17"/>
  <c r="I25" i="17"/>
  <c r="H25" i="17"/>
  <c r="N24" i="17"/>
  <c r="M24" i="17"/>
  <c r="L24" i="17"/>
  <c r="K24" i="17"/>
  <c r="J24" i="17"/>
  <c r="I24" i="17"/>
  <c r="H24" i="17"/>
  <c r="N23" i="17"/>
  <c r="M23" i="17"/>
  <c r="L23" i="17"/>
  <c r="K23" i="17"/>
  <c r="J23" i="17"/>
  <c r="I23" i="17"/>
  <c r="H23" i="17"/>
  <c r="N22" i="17"/>
  <c r="M22" i="17"/>
  <c r="L22" i="17"/>
  <c r="K22" i="17"/>
  <c r="J22" i="17"/>
  <c r="I22" i="17"/>
  <c r="H22" i="17"/>
  <c r="N21" i="17"/>
  <c r="M21" i="17"/>
  <c r="L21" i="17"/>
  <c r="K21" i="17"/>
  <c r="J21" i="17"/>
  <c r="I21" i="17"/>
  <c r="H21" i="17"/>
  <c r="N20" i="17"/>
  <c r="M20" i="17"/>
  <c r="L20" i="17"/>
  <c r="K20" i="17"/>
  <c r="J20" i="17"/>
  <c r="I20" i="17"/>
  <c r="H20" i="17"/>
  <c r="N19" i="17"/>
  <c r="M19" i="17"/>
  <c r="L19" i="17"/>
  <c r="K19" i="17"/>
  <c r="J19" i="17"/>
  <c r="I19" i="17"/>
  <c r="H19" i="17"/>
  <c r="N18" i="17"/>
  <c r="M18" i="17"/>
  <c r="L18" i="17"/>
  <c r="K18" i="17"/>
  <c r="J18" i="17"/>
  <c r="I18" i="17"/>
  <c r="H18" i="17"/>
  <c r="N17" i="17"/>
  <c r="M17" i="17"/>
  <c r="L17" i="17"/>
  <c r="K17" i="17"/>
  <c r="J17" i="17"/>
  <c r="I17" i="17"/>
  <c r="H17" i="17"/>
  <c r="N16" i="17"/>
  <c r="M16" i="17"/>
  <c r="L16" i="17"/>
  <c r="K16" i="17"/>
  <c r="J16" i="17"/>
  <c r="I16" i="17"/>
  <c r="H16" i="17"/>
  <c r="N15" i="17"/>
  <c r="M15" i="17"/>
  <c r="L15" i="17"/>
  <c r="K15" i="17"/>
  <c r="J15" i="17"/>
  <c r="I15" i="17"/>
  <c r="H15" i="17"/>
  <c r="N14" i="17"/>
  <c r="M14" i="17"/>
  <c r="L14" i="17"/>
  <c r="K14" i="17"/>
  <c r="J14" i="17"/>
  <c r="I14" i="17"/>
  <c r="H14" i="17"/>
  <c r="N13" i="17"/>
  <c r="M13" i="17"/>
  <c r="L13" i="17"/>
  <c r="K13" i="17"/>
  <c r="J13" i="17"/>
  <c r="I13" i="17"/>
  <c r="H13" i="17"/>
  <c r="N12" i="17"/>
  <c r="M12" i="17"/>
  <c r="L12" i="17"/>
  <c r="K12" i="17"/>
  <c r="J12" i="17"/>
  <c r="I12" i="17"/>
  <c r="H12" i="17"/>
  <c r="N11" i="17"/>
  <c r="M11" i="17"/>
  <c r="L11" i="17"/>
  <c r="K11" i="17"/>
  <c r="J11" i="17"/>
  <c r="I11" i="17"/>
  <c r="H11" i="17"/>
  <c r="N10" i="17"/>
  <c r="M10" i="17"/>
  <c r="L10" i="17"/>
  <c r="K10" i="17"/>
  <c r="J10" i="17"/>
  <c r="I10" i="17"/>
  <c r="H10" i="17"/>
  <c r="N9" i="17"/>
  <c r="M9" i="17"/>
  <c r="L9" i="17"/>
  <c r="K9" i="17"/>
  <c r="J9" i="17"/>
  <c r="I9" i="17"/>
  <c r="H9" i="17"/>
  <c r="N8" i="17"/>
  <c r="M8" i="17"/>
  <c r="L8" i="17"/>
  <c r="K8" i="17"/>
  <c r="J8" i="17"/>
  <c r="I8" i="17"/>
  <c r="H8" i="17"/>
  <c r="N7" i="17"/>
  <c r="M7" i="17"/>
  <c r="L7" i="17"/>
  <c r="K7" i="17"/>
  <c r="J7" i="17"/>
  <c r="I7" i="17"/>
  <c r="H7" i="17"/>
  <c r="N43" i="16"/>
  <c r="M43" i="16"/>
  <c r="L43" i="16"/>
  <c r="K43" i="16"/>
  <c r="J43" i="16"/>
  <c r="I43" i="16"/>
  <c r="H43" i="16"/>
  <c r="N42" i="16"/>
  <c r="M42" i="16"/>
  <c r="L42" i="16"/>
  <c r="K42" i="16"/>
  <c r="J42" i="16"/>
  <c r="I42" i="16"/>
  <c r="H42" i="16"/>
  <c r="N41" i="16"/>
  <c r="M41" i="16"/>
  <c r="L41" i="16"/>
  <c r="K41" i="16"/>
  <c r="J41" i="16"/>
  <c r="I41" i="16"/>
  <c r="H41" i="16"/>
  <c r="N40" i="16"/>
  <c r="M40" i="16"/>
  <c r="L40" i="16"/>
  <c r="K40" i="16"/>
  <c r="J40" i="16"/>
  <c r="I40" i="16"/>
  <c r="H40" i="16"/>
  <c r="N39" i="16"/>
  <c r="M39" i="16"/>
  <c r="L39" i="16"/>
  <c r="K39" i="16"/>
  <c r="J39" i="16"/>
  <c r="I39" i="16"/>
  <c r="H39" i="16"/>
  <c r="N38" i="16"/>
  <c r="M38" i="16"/>
  <c r="L38" i="16"/>
  <c r="K38" i="16"/>
  <c r="J38" i="16"/>
  <c r="I38" i="16"/>
  <c r="H38" i="16"/>
  <c r="N37" i="16"/>
  <c r="M37" i="16"/>
  <c r="L37" i="16"/>
  <c r="K37" i="16"/>
  <c r="J37" i="16"/>
  <c r="I37" i="16"/>
  <c r="H37" i="16"/>
  <c r="N36" i="16"/>
  <c r="M36" i="16"/>
  <c r="L36" i="16"/>
  <c r="K36" i="16"/>
  <c r="J36" i="16"/>
  <c r="I36" i="16"/>
  <c r="H36" i="16"/>
  <c r="N35" i="16"/>
  <c r="M35" i="16"/>
  <c r="L35" i="16"/>
  <c r="K35" i="16"/>
  <c r="J35" i="16"/>
  <c r="I35" i="16"/>
  <c r="H35" i="16"/>
  <c r="N34" i="16"/>
  <c r="M34" i="16"/>
  <c r="L34" i="16"/>
  <c r="K34" i="16"/>
  <c r="J34" i="16"/>
  <c r="I34" i="16"/>
  <c r="H34" i="16"/>
  <c r="N33" i="16"/>
  <c r="M33" i="16"/>
  <c r="L33" i="16"/>
  <c r="K33" i="16"/>
  <c r="J33" i="16"/>
  <c r="I33" i="16"/>
  <c r="H33" i="16"/>
  <c r="N32" i="16"/>
  <c r="M32" i="16"/>
  <c r="L32" i="16"/>
  <c r="K32" i="16"/>
  <c r="J32" i="16"/>
  <c r="I32" i="16"/>
  <c r="H32" i="16"/>
  <c r="N31" i="16"/>
  <c r="M31" i="16"/>
  <c r="L31" i="16"/>
  <c r="K31" i="16"/>
  <c r="J31" i="16"/>
  <c r="I31" i="16"/>
  <c r="H31" i="16"/>
  <c r="N30" i="16"/>
  <c r="M30" i="16"/>
  <c r="L30" i="16"/>
  <c r="K30" i="16"/>
  <c r="J30" i="16"/>
  <c r="I30" i="16"/>
  <c r="H30" i="16"/>
  <c r="N29" i="16"/>
  <c r="M29" i="16"/>
  <c r="L29" i="16"/>
  <c r="K29" i="16"/>
  <c r="J29" i="16"/>
  <c r="I29" i="16"/>
  <c r="H29" i="16"/>
  <c r="N28" i="16"/>
  <c r="M28" i="16"/>
  <c r="L28" i="16"/>
  <c r="K28" i="16"/>
  <c r="J28" i="16"/>
  <c r="I28" i="16"/>
  <c r="H28" i="16"/>
  <c r="N27" i="16"/>
  <c r="M27" i="16"/>
  <c r="L27" i="16"/>
  <c r="K27" i="16"/>
  <c r="J27" i="16"/>
  <c r="I27" i="16"/>
  <c r="H27" i="16"/>
  <c r="N26" i="16"/>
  <c r="M26" i="16"/>
  <c r="L26" i="16"/>
  <c r="K26" i="16"/>
  <c r="J26" i="16"/>
  <c r="I26" i="16"/>
  <c r="H26" i="16"/>
  <c r="N25" i="16"/>
  <c r="M25" i="16"/>
  <c r="L25" i="16"/>
  <c r="K25" i="16"/>
  <c r="J25" i="16"/>
  <c r="I25" i="16"/>
  <c r="H25" i="16"/>
  <c r="N24" i="16"/>
  <c r="M24" i="16"/>
  <c r="L24" i="16"/>
  <c r="K24" i="16"/>
  <c r="J24" i="16"/>
  <c r="I24" i="16"/>
  <c r="H24" i="16"/>
  <c r="N23" i="16"/>
  <c r="M23" i="16"/>
  <c r="L23" i="16"/>
  <c r="K23" i="16"/>
  <c r="J23" i="16"/>
  <c r="I23" i="16"/>
  <c r="H23" i="16"/>
  <c r="N22" i="16"/>
  <c r="M22" i="16"/>
  <c r="L22" i="16"/>
  <c r="K22" i="16"/>
  <c r="J22" i="16"/>
  <c r="I22" i="16"/>
  <c r="H22" i="16"/>
  <c r="N21" i="16"/>
  <c r="M21" i="16"/>
  <c r="L21" i="16"/>
  <c r="K21" i="16"/>
  <c r="J21" i="16"/>
  <c r="I21" i="16"/>
  <c r="H21" i="16"/>
  <c r="N20" i="16"/>
  <c r="M20" i="16"/>
  <c r="L20" i="16"/>
  <c r="K20" i="16"/>
  <c r="J20" i="16"/>
  <c r="I20" i="16"/>
  <c r="H20" i="16"/>
  <c r="N19" i="16"/>
  <c r="M19" i="16"/>
  <c r="L19" i="16"/>
  <c r="K19" i="16"/>
  <c r="J19" i="16"/>
  <c r="I19" i="16"/>
  <c r="H19" i="16"/>
  <c r="N18" i="16"/>
  <c r="M18" i="16"/>
  <c r="L18" i="16"/>
  <c r="K18" i="16"/>
  <c r="J18" i="16"/>
  <c r="I18" i="16"/>
  <c r="H18" i="16"/>
  <c r="N17" i="16"/>
  <c r="M17" i="16"/>
  <c r="L17" i="16"/>
  <c r="K17" i="16"/>
  <c r="J17" i="16"/>
  <c r="I17" i="16"/>
  <c r="H17" i="16"/>
  <c r="N16" i="16"/>
  <c r="M16" i="16"/>
  <c r="L16" i="16"/>
  <c r="K16" i="16"/>
  <c r="J16" i="16"/>
  <c r="I16" i="16"/>
  <c r="H16" i="16"/>
  <c r="N15" i="16"/>
  <c r="M15" i="16"/>
  <c r="L15" i="16"/>
  <c r="K15" i="16"/>
  <c r="J15" i="16"/>
  <c r="I15" i="16"/>
  <c r="H15" i="16"/>
  <c r="N14" i="16"/>
  <c r="M14" i="16"/>
  <c r="L14" i="16"/>
  <c r="K14" i="16"/>
  <c r="J14" i="16"/>
  <c r="I14" i="16"/>
  <c r="H14" i="16"/>
  <c r="N13" i="16"/>
  <c r="M13" i="16"/>
  <c r="L13" i="16"/>
  <c r="K13" i="16"/>
  <c r="J13" i="16"/>
  <c r="I13" i="16"/>
  <c r="H13" i="16"/>
  <c r="N12" i="16"/>
  <c r="M12" i="16"/>
  <c r="L12" i="16"/>
  <c r="K12" i="16"/>
  <c r="J12" i="16"/>
  <c r="I12" i="16"/>
  <c r="H12" i="16"/>
  <c r="N11" i="16"/>
  <c r="M11" i="16"/>
  <c r="L11" i="16"/>
  <c r="K11" i="16"/>
  <c r="J11" i="16"/>
  <c r="I11" i="16"/>
  <c r="H11" i="16"/>
  <c r="N10" i="16"/>
  <c r="M10" i="16"/>
  <c r="L10" i="16"/>
  <c r="K10" i="16"/>
  <c r="J10" i="16"/>
  <c r="I10" i="16"/>
  <c r="H10" i="16"/>
  <c r="N9" i="16"/>
  <c r="M9" i="16"/>
  <c r="L9" i="16"/>
  <c r="K9" i="16"/>
  <c r="J9" i="16"/>
  <c r="I9" i="16"/>
  <c r="H9" i="16"/>
  <c r="N8" i="16"/>
  <c r="M8" i="16"/>
  <c r="L8" i="16"/>
  <c r="K8" i="16"/>
  <c r="J8" i="16"/>
  <c r="I8" i="16"/>
  <c r="H8" i="16"/>
  <c r="N7" i="16"/>
  <c r="M7" i="16"/>
  <c r="L7" i="16"/>
  <c r="K7" i="16"/>
  <c r="J7" i="16"/>
  <c r="I7" i="16"/>
  <c r="H7" i="16"/>
  <c r="N41" i="5"/>
  <c r="M41" i="5"/>
  <c r="L41" i="5"/>
  <c r="K41" i="5"/>
  <c r="J41" i="5"/>
  <c r="I41" i="5"/>
  <c r="H41" i="5"/>
  <c r="N40" i="5"/>
  <c r="M40" i="5"/>
  <c r="L40" i="5"/>
  <c r="K40" i="5"/>
  <c r="J40" i="5"/>
  <c r="I40" i="5"/>
  <c r="H40" i="5"/>
  <c r="N39" i="5"/>
  <c r="M39" i="5"/>
  <c r="L39" i="5"/>
  <c r="K39" i="5"/>
  <c r="J39" i="5"/>
  <c r="I39" i="5"/>
  <c r="H39" i="5"/>
  <c r="N38" i="5"/>
  <c r="M38" i="5"/>
  <c r="L38" i="5"/>
  <c r="K38" i="5"/>
  <c r="J38" i="5"/>
  <c r="I38" i="5"/>
  <c r="H38" i="5"/>
  <c r="N37" i="5"/>
  <c r="M37" i="5"/>
  <c r="L37" i="5"/>
  <c r="K37" i="5"/>
  <c r="J37" i="5"/>
  <c r="I37" i="5"/>
  <c r="H37" i="5"/>
  <c r="N36" i="5"/>
  <c r="M36" i="5"/>
  <c r="L36" i="5"/>
  <c r="K36" i="5"/>
  <c r="J36" i="5"/>
  <c r="I36" i="5"/>
  <c r="H36" i="5"/>
  <c r="N35" i="5"/>
  <c r="M35" i="5"/>
  <c r="L35" i="5"/>
  <c r="K35" i="5"/>
  <c r="J35" i="5"/>
  <c r="I35" i="5"/>
  <c r="H35" i="5"/>
  <c r="N34" i="5"/>
  <c r="M34" i="5"/>
  <c r="L34" i="5"/>
  <c r="K34" i="5"/>
  <c r="J34" i="5"/>
  <c r="I34" i="5"/>
  <c r="H34" i="5"/>
  <c r="N33" i="5"/>
  <c r="M33" i="5"/>
  <c r="L33" i="5"/>
  <c r="K33" i="5"/>
  <c r="J33" i="5"/>
  <c r="I33" i="5"/>
  <c r="H33" i="5"/>
  <c r="N32" i="5"/>
  <c r="M32" i="5"/>
  <c r="L32" i="5"/>
  <c r="K32" i="5"/>
  <c r="J32" i="5"/>
  <c r="I32" i="5"/>
  <c r="H32" i="5"/>
  <c r="N31" i="5"/>
  <c r="M31" i="5"/>
  <c r="L31" i="5"/>
  <c r="K31" i="5"/>
  <c r="J31" i="5"/>
  <c r="I31" i="5"/>
  <c r="H31" i="5"/>
  <c r="N30" i="5"/>
  <c r="M30" i="5"/>
  <c r="L30" i="5"/>
  <c r="K30" i="5"/>
  <c r="J30" i="5"/>
  <c r="I30" i="5"/>
  <c r="H30" i="5"/>
  <c r="N29" i="5"/>
  <c r="M29" i="5"/>
  <c r="L29" i="5"/>
  <c r="K29" i="5"/>
  <c r="J29" i="5"/>
  <c r="I29" i="5"/>
  <c r="H29" i="5"/>
  <c r="N28" i="5"/>
  <c r="M28" i="5"/>
  <c r="L28" i="5"/>
  <c r="K28" i="5"/>
  <c r="J28" i="5"/>
  <c r="I28" i="5"/>
  <c r="H28" i="5"/>
  <c r="N27" i="5"/>
  <c r="M27" i="5"/>
  <c r="L27" i="5"/>
  <c r="K27" i="5"/>
  <c r="J27" i="5"/>
  <c r="I27" i="5"/>
  <c r="H27" i="5"/>
  <c r="N26" i="5"/>
  <c r="M26" i="5"/>
  <c r="L26" i="5"/>
  <c r="K26" i="5"/>
  <c r="J26" i="5"/>
  <c r="I26" i="5"/>
  <c r="H26" i="5"/>
  <c r="N25" i="5"/>
  <c r="M25" i="5"/>
  <c r="L25" i="5"/>
  <c r="K25" i="5"/>
  <c r="J25" i="5"/>
  <c r="I25" i="5"/>
  <c r="H25" i="5"/>
  <c r="N24" i="5"/>
  <c r="M24" i="5"/>
  <c r="L24" i="5"/>
  <c r="K24" i="5"/>
  <c r="J24" i="5"/>
  <c r="I24" i="5"/>
  <c r="H24" i="5"/>
  <c r="N23" i="5"/>
  <c r="M23" i="5"/>
  <c r="L23" i="5"/>
  <c r="K23" i="5"/>
  <c r="J23" i="5"/>
  <c r="I23" i="5"/>
  <c r="H23" i="5"/>
  <c r="N22" i="5"/>
  <c r="M22" i="5"/>
  <c r="L22" i="5"/>
  <c r="K22" i="5"/>
  <c r="J22" i="5"/>
  <c r="I22" i="5"/>
  <c r="H22" i="5"/>
  <c r="N21" i="5"/>
  <c r="M21" i="5"/>
  <c r="L21" i="5"/>
  <c r="K21" i="5"/>
  <c r="J21" i="5"/>
  <c r="I21" i="5"/>
  <c r="H21" i="5"/>
  <c r="N20" i="5"/>
  <c r="M20" i="5"/>
  <c r="L20" i="5"/>
  <c r="K20" i="5"/>
  <c r="J20" i="5"/>
  <c r="I20" i="5"/>
  <c r="H20" i="5"/>
  <c r="N19" i="5"/>
  <c r="M19" i="5"/>
  <c r="L19" i="5"/>
  <c r="K19" i="5"/>
  <c r="J19" i="5"/>
  <c r="I19" i="5"/>
  <c r="H19" i="5"/>
  <c r="N18" i="5"/>
  <c r="M18" i="5"/>
  <c r="L18" i="5"/>
  <c r="K18" i="5"/>
  <c r="J18" i="5"/>
  <c r="I18" i="5"/>
  <c r="H18" i="5"/>
  <c r="N17" i="5"/>
  <c r="M17" i="5"/>
  <c r="L17" i="5"/>
  <c r="K17" i="5"/>
  <c r="J17" i="5"/>
  <c r="I17" i="5"/>
  <c r="H17" i="5"/>
  <c r="N16" i="5"/>
  <c r="M16" i="5"/>
  <c r="L16" i="5"/>
  <c r="K16" i="5"/>
  <c r="J16" i="5"/>
  <c r="I16" i="5"/>
  <c r="H16" i="5"/>
  <c r="N15" i="5"/>
  <c r="M15" i="5"/>
  <c r="L15" i="5"/>
  <c r="K15" i="5"/>
  <c r="J15" i="5"/>
  <c r="I15" i="5"/>
  <c r="H15" i="5"/>
  <c r="N14" i="5"/>
  <c r="M14" i="5"/>
  <c r="L14" i="5"/>
  <c r="K14" i="5"/>
  <c r="J14" i="5"/>
  <c r="I14" i="5"/>
  <c r="H14" i="5"/>
  <c r="N13" i="5"/>
  <c r="M13" i="5"/>
  <c r="L13" i="5"/>
  <c r="K13" i="5"/>
  <c r="J13" i="5"/>
  <c r="I13" i="5"/>
  <c r="H13" i="5"/>
  <c r="N12" i="5"/>
  <c r="M12" i="5"/>
  <c r="L12" i="5"/>
  <c r="K12" i="5"/>
  <c r="J12" i="5"/>
  <c r="I12" i="5"/>
  <c r="H12" i="5"/>
  <c r="N11" i="5"/>
  <c r="M11" i="5"/>
  <c r="L11" i="5"/>
  <c r="K11" i="5"/>
  <c r="J11" i="5"/>
  <c r="I11" i="5"/>
  <c r="H11" i="5"/>
  <c r="N10" i="5"/>
  <c r="M10" i="5"/>
  <c r="L10" i="5"/>
  <c r="K10" i="5"/>
  <c r="J10" i="5"/>
  <c r="I10" i="5"/>
  <c r="H10" i="5"/>
  <c r="N9" i="5"/>
  <c r="M9" i="5"/>
  <c r="L9" i="5"/>
  <c r="K9" i="5"/>
  <c r="J9" i="5"/>
  <c r="I9" i="5"/>
  <c r="H9" i="5"/>
  <c r="N8" i="5"/>
  <c r="M8" i="5"/>
  <c r="L8" i="5"/>
  <c r="K8" i="5"/>
  <c r="J8" i="5"/>
  <c r="I8" i="5"/>
  <c r="H8" i="5"/>
  <c r="N7" i="5"/>
  <c r="M7" i="5"/>
  <c r="L7" i="5"/>
  <c r="K7" i="5"/>
  <c r="J7" i="5"/>
  <c r="I7" i="5"/>
  <c r="H7" i="5"/>
  <c r="N41" i="15"/>
  <c r="M41" i="15"/>
  <c r="L41" i="15"/>
  <c r="K41" i="15"/>
  <c r="J41" i="15"/>
  <c r="I41" i="15"/>
  <c r="H41" i="15"/>
  <c r="N40" i="15"/>
  <c r="M40" i="15"/>
  <c r="L40" i="15"/>
  <c r="K40" i="15"/>
  <c r="J40" i="15"/>
  <c r="I40" i="15"/>
  <c r="H40" i="15"/>
  <c r="N39" i="15"/>
  <c r="M39" i="15"/>
  <c r="L39" i="15"/>
  <c r="K39" i="15"/>
  <c r="J39" i="15"/>
  <c r="I39" i="15"/>
  <c r="H39" i="15"/>
  <c r="N38" i="15"/>
  <c r="M38" i="15"/>
  <c r="L38" i="15"/>
  <c r="K38" i="15"/>
  <c r="J38" i="15"/>
  <c r="I38" i="15"/>
  <c r="H38" i="15"/>
  <c r="N37" i="15"/>
  <c r="M37" i="15"/>
  <c r="L37" i="15"/>
  <c r="K37" i="15"/>
  <c r="J37" i="15"/>
  <c r="I37" i="15"/>
  <c r="H37" i="15"/>
  <c r="N36" i="15"/>
  <c r="M36" i="15"/>
  <c r="L36" i="15"/>
  <c r="K36" i="15"/>
  <c r="J36" i="15"/>
  <c r="I36" i="15"/>
  <c r="H36" i="15"/>
  <c r="N35" i="15"/>
  <c r="M35" i="15"/>
  <c r="L35" i="15"/>
  <c r="K35" i="15"/>
  <c r="J35" i="15"/>
  <c r="I35" i="15"/>
  <c r="H35" i="15"/>
  <c r="N34" i="15"/>
  <c r="M34" i="15"/>
  <c r="L34" i="15"/>
  <c r="K34" i="15"/>
  <c r="J34" i="15"/>
  <c r="I34" i="15"/>
  <c r="H34" i="15"/>
  <c r="N33" i="15"/>
  <c r="M33" i="15"/>
  <c r="L33" i="15"/>
  <c r="K33" i="15"/>
  <c r="J33" i="15"/>
  <c r="I33" i="15"/>
  <c r="H33" i="15"/>
  <c r="N32" i="15"/>
  <c r="M32" i="15"/>
  <c r="L32" i="15"/>
  <c r="K32" i="15"/>
  <c r="J32" i="15"/>
  <c r="I32" i="15"/>
  <c r="H32" i="15"/>
  <c r="N31" i="15"/>
  <c r="M31" i="15"/>
  <c r="L31" i="15"/>
  <c r="K31" i="15"/>
  <c r="J31" i="15"/>
  <c r="I31" i="15"/>
  <c r="H31" i="15"/>
  <c r="N30" i="15"/>
  <c r="M30" i="15"/>
  <c r="L30" i="15"/>
  <c r="K30" i="15"/>
  <c r="J30" i="15"/>
  <c r="I30" i="15"/>
  <c r="H30" i="15"/>
  <c r="N29" i="15"/>
  <c r="M29" i="15"/>
  <c r="L29" i="15"/>
  <c r="K29" i="15"/>
  <c r="J29" i="15"/>
  <c r="I29" i="15"/>
  <c r="H29" i="15"/>
  <c r="N28" i="15"/>
  <c r="M28" i="15"/>
  <c r="T21" i="1" s="1"/>
  <c r="L28" i="15"/>
  <c r="K28" i="15"/>
  <c r="J28" i="15"/>
  <c r="I28" i="15"/>
  <c r="H28" i="15"/>
  <c r="N27" i="15"/>
  <c r="M27" i="15"/>
  <c r="L27" i="15"/>
  <c r="S21" i="1" s="1"/>
  <c r="K27" i="15"/>
  <c r="R21" i="1" s="1"/>
  <c r="J27" i="15"/>
  <c r="Q21" i="1" s="1"/>
  <c r="I27" i="15"/>
  <c r="P21" i="1" s="1"/>
  <c r="H27" i="15"/>
  <c r="O21" i="1" s="1"/>
  <c r="N26" i="15"/>
  <c r="M26" i="15"/>
  <c r="L26" i="15"/>
  <c r="K26" i="15"/>
  <c r="J26" i="15"/>
  <c r="I26" i="15"/>
  <c r="H26" i="15"/>
  <c r="N25" i="15"/>
  <c r="M25" i="15"/>
  <c r="L25" i="15"/>
  <c r="K25" i="15"/>
  <c r="J25" i="15"/>
  <c r="I25" i="15"/>
  <c r="H25" i="15"/>
  <c r="N24" i="15"/>
  <c r="M24" i="15"/>
  <c r="L24" i="15"/>
  <c r="K24" i="15"/>
  <c r="J24" i="15"/>
  <c r="I24" i="15"/>
  <c r="H24" i="15"/>
  <c r="N23" i="15"/>
  <c r="M23" i="15"/>
  <c r="L23" i="15"/>
  <c r="K23" i="15"/>
  <c r="J23" i="15"/>
  <c r="I23" i="15"/>
  <c r="H23" i="15"/>
  <c r="N22" i="15"/>
  <c r="M22" i="15"/>
  <c r="L22" i="15"/>
  <c r="K22" i="15"/>
  <c r="J22" i="15"/>
  <c r="I22" i="15"/>
  <c r="H22" i="15"/>
  <c r="N21" i="15"/>
  <c r="M21" i="15"/>
  <c r="L21" i="15"/>
  <c r="K21" i="15"/>
  <c r="J21" i="15"/>
  <c r="I21" i="15"/>
  <c r="H21" i="15"/>
  <c r="N20" i="15"/>
  <c r="M20" i="15"/>
  <c r="L20" i="15"/>
  <c r="K20" i="15"/>
  <c r="J20" i="15"/>
  <c r="I20" i="15"/>
  <c r="H20" i="15"/>
  <c r="N19" i="15"/>
  <c r="M19" i="15"/>
  <c r="L19" i="15"/>
  <c r="K19" i="15"/>
  <c r="J19" i="15"/>
  <c r="I19" i="15"/>
  <c r="H19" i="15"/>
  <c r="N18" i="15"/>
  <c r="M18" i="15"/>
  <c r="L18" i="15"/>
  <c r="K18" i="15"/>
  <c r="J18" i="15"/>
  <c r="I18" i="15"/>
  <c r="H18" i="15"/>
  <c r="N17" i="15"/>
  <c r="M17" i="15"/>
  <c r="L17" i="15"/>
  <c r="K17" i="15"/>
  <c r="J17" i="15"/>
  <c r="I17" i="15"/>
  <c r="H17" i="15"/>
  <c r="N16" i="15"/>
  <c r="M16" i="15"/>
  <c r="L16" i="15"/>
  <c r="K16" i="15"/>
  <c r="J16" i="15"/>
  <c r="I16" i="15"/>
  <c r="H16" i="15"/>
  <c r="N15" i="15"/>
  <c r="M15" i="15"/>
  <c r="L15" i="15"/>
  <c r="K15" i="15"/>
  <c r="J15" i="15"/>
  <c r="I15" i="15"/>
  <c r="H15" i="15"/>
  <c r="N14" i="15"/>
  <c r="M14" i="15"/>
  <c r="L14" i="15"/>
  <c r="K14" i="15"/>
  <c r="J14" i="15"/>
  <c r="I14" i="15"/>
  <c r="H14" i="15"/>
  <c r="N13" i="15"/>
  <c r="M13" i="15"/>
  <c r="L13" i="15"/>
  <c r="K13" i="15"/>
  <c r="J13" i="15"/>
  <c r="I13" i="15"/>
  <c r="H13" i="15"/>
  <c r="N12" i="15"/>
  <c r="M12" i="15"/>
  <c r="L12" i="15"/>
  <c r="K12" i="15"/>
  <c r="J12" i="15"/>
  <c r="I12" i="15"/>
  <c r="H12" i="15"/>
  <c r="N11" i="15"/>
  <c r="M11" i="15"/>
  <c r="L11" i="15"/>
  <c r="K11" i="15"/>
  <c r="J11" i="15"/>
  <c r="I11" i="15"/>
  <c r="H11" i="15"/>
  <c r="N10" i="15"/>
  <c r="M10" i="15"/>
  <c r="L10" i="15"/>
  <c r="K10" i="15"/>
  <c r="J10" i="15"/>
  <c r="I10" i="15"/>
  <c r="H10" i="15"/>
  <c r="N9" i="15"/>
  <c r="M9" i="15"/>
  <c r="L9" i="15"/>
  <c r="K9" i="15"/>
  <c r="J9" i="15"/>
  <c r="I9" i="15"/>
  <c r="H9" i="15"/>
  <c r="N8" i="15"/>
  <c r="M8" i="15"/>
  <c r="L8" i="15"/>
  <c r="K8" i="15"/>
  <c r="J8" i="15"/>
  <c r="I8" i="15"/>
  <c r="H8" i="15"/>
  <c r="N7" i="15"/>
  <c r="M7" i="15"/>
  <c r="L7" i="15"/>
  <c r="K7" i="15"/>
  <c r="J7" i="15"/>
  <c r="I7" i="15"/>
  <c r="H7" i="15"/>
  <c r="N41" i="14"/>
  <c r="M41" i="14"/>
  <c r="L41" i="14"/>
  <c r="K41" i="14"/>
  <c r="J41" i="14"/>
  <c r="I41" i="14"/>
  <c r="H41" i="14"/>
  <c r="N40" i="14"/>
  <c r="M40" i="14"/>
  <c r="L40" i="14"/>
  <c r="K40" i="14"/>
  <c r="J40" i="14"/>
  <c r="I40" i="14"/>
  <c r="H40" i="14"/>
  <c r="N39" i="14"/>
  <c r="M39" i="14"/>
  <c r="L39" i="14"/>
  <c r="K39" i="14"/>
  <c r="J39" i="14"/>
  <c r="I39" i="14"/>
  <c r="H39" i="14"/>
  <c r="N38" i="14"/>
  <c r="M38" i="14"/>
  <c r="L38" i="14"/>
  <c r="K38" i="14"/>
  <c r="J38" i="14"/>
  <c r="I38" i="14"/>
  <c r="H38" i="14"/>
  <c r="N37" i="14"/>
  <c r="M37" i="14"/>
  <c r="L37" i="14"/>
  <c r="K37" i="14"/>
  <c r="J37" i="14"/>
  <c r="I37" i="14"/>
  <c r="H37" i="14"/>
  <c r="N36" i="14"/>
  <c r="M36" i="14"/>
  <c r="L36" i="14"/>
  <c r="K36" i="14"/>
  <c r="J36" i="14"/>
  <c r="I36" i="14"/>
  <c r="H36" i="14"/>
  <c r="N35" i="14"/>
  <c r="M35" i="14"/>
  <c r="L35" i="14"/>
  <c r="K35" i="14"/>
  <c r="J35" i="14"/>
  <c r="I35" i="14"/>
  <c r="H35" i="14"/>
  <c r="N34" i="14"/>
  <c r="M34" i="14"/>
  <c r="L34" i="14"/>
  <c r="K34" i="14"/>
  <c r="J34" i="14"/>
  <c r="I34" i="14"/>
  <c r="H34" i="14"/>
  <c r="N33" i="14"/>
  <c r="M33" i="14"/>
  <c r="L33" i="14"/>
  <c r="K33" i="14"/>
  <c r="J33" i="14"/>
  <c r="I33" i="14"/>
  <c r="H33" i="14"/>
  <c r="N32" i="14"/>
  <c r="M32" i="14"/>
  <c r="L32" i="14"/>
  <c r="K32" i="14"/>
  <c r="J32" i="14"/>
  <c r="I32" i="14"/>
  <c r="H32" i="14"/>
  <c r="N31" i="14"/>
  <c r="M31" i="14"/>
  <c r="L31" i="14"/>
  <c r="K31" i="14"/>
  <c r="J31" i="14"/>
  <c r="I31" i="14"/>
  <c r="H31" i="14"/>
  <c r="N30" i="14"/>
  <c r="M30" i="14"/>
  <c r="L30" i="14"/>
  <c r="K30" i="14"/>
  <c r="J30" i="14"/>
  <c r="I30" i="14"/>
  <c r="H30" i="14"/>
  <c r="N29" i="14"/>
  <c r="M29" i="14"/>
  <c r="L29" i="14"/>
  <c r="K29" i="14"/>
  <c r="J29" i="14"/>
  <c r="I29" i="14"/>
  <c r="H29" i="14"/>
  <c r="N28" i="14"/>
  <c r="M28" i="14"/>
  <c r="L28" i="14"/>
  <c r="K28" i="14"/>
  <c r="J28" i="14"/>
  <c r="I28" i="14"/>
  <c r="H28" i="14"/>
  <c r="N27" i="14"/>
  <c r="M27" i="14"/>
  <c r="L27" i="14"/>
  <c r="K27" i="14"/>
  <c r="J27" i="14"/>
  <c r="I27" i="14"/>
  <c r="H27" i="14"/>
  <c r="N26" i="14"/>
  <c r="M26" i="14"/>
  <c r="L26" i="14"/>
  <c r="K26" i="14"/>
  <c r="J26" i="14"/>
  <c r="I26" i="14"/>
  <c r="H26" i="14"/>
  <c r="N25" i="14"/>
  <c r="M25" i="14"/>
  <c r="L25" i="14"/>
  <c r="K25" i="14"/>
  <c r="J25" i="14"/>
  <c r="I25" i="14"/>
  <c r="H25" i="14"/>
  <c r="N24" i="14"/>
  <c r="M24" i="14"/>
  <c r="L24" i="14"/>
  <c r="K24" i="14"/>
  <c r="J24" i="14"/>
  <c r="I24" i="14"/>
  <c r="H24" i="14"/>
  <c r="N23" i="14"/>
  <c r="M23" i="14"/>
  <c r="L23" i="14"/>
  <c r="K23" i="14"/>
  <c r="J23" i="14"/>
  <c r="I23" i="14"/>
  <c r="H23" i="14"/>
  <c r="N22" i="14"/>
  <c r="M22" i="14"/>
  <c r="L22" i="14"/>
  <c r="K22" i="14"/>
  <c r="J22" i="14"/>
  <c r="I22" i="14"/>
  <c r="H22" i="14"/>
  <c r="N21" i="14"/>
  <c r="M21" i="14"/>
  <c r="L21" i="14"/>
  <c r="K21" i="14"/>
  <c r="J21" i="14"/>
  <c r="I21" i="14"/>
  <c r="H21" i="14"/>
  <c r="N20" i="14"/>
  <c r="M20" i="14"/>
  <c r="L20" i="14"/>
  <c r="K20" i="14"/>
  <c r="J20" i="14"/>
  <c r="I20" i="14"/>
  <c r="H20" i="14"/>
  <c r="N19" i="14"/>
  <c r="M19" i="14"/>
  <c r="L19" i="14"/>
  <c r="K19" i="14"/>
  <c r="J19" i="14"/>
  <c r="I19" i="14"/>
  <c r="H19" i="14"/>
  <c r="N18" i="14"/>
  <c r="M18" i="14"/>
  <c r="L18" i="14"/>
  <c r="K18" i="14"/>
  <c r="J18" i="14"/>
  <c r="I18" i="14"/>
  <c r="H18" i="14"/>
  <c r="N17" i="14"/>
  <c r="M17" i="14"/>
  <c r="L17" i="14"/>
  <c r="K17" i="14"/>
  <c r="J17" i="14"/>
  <c r="I17" i="14"/>
  <c r="H17" i="14"/>
  <c r="N16" i="14"/>
  <c r="M16" i="14"/>
  <c r="L16" i="14"/>
  <c r="K16" i="14"/>
  <c r="J16" i="14"/>
  <c r="I16" i="14"/>
  <c r="H16" i="14"/>
  <c r="N15" i="14"/>
  <c r="M15" i="14"/>
  <c r="L15" i="14"/>
  <c r="K15" i="14"/>
  <c r="J15" i="14"/>
  <c r="I15" i="14"/>
  <c r="H15" i="14"/>
  <c r="N14" i="14"/>
  <c r="M14" i="14"/>
  <c r="L14" i="14"/>
  <c r="K14" i="14"/>
  <c r="J14" i="14"/>
  <c r="I14" i="14"/>
  <c r="H14" i="14"/>
  <c r="N13" i="14"/>
  <c r="M13" i="14"/>
  <c r="L13" i="14"/>
  <c r="K13" i="14"/>
  <c r="J13" i="14"/>
  <c r="I13" i="14"/>
  <c r="H13" i="14"/>
  <c r="N12" i="14"/>
  <c r="M12" i="14"/>
  <c r="L12" i="14"/>
  <c r="K12" i="14"/>
  <c r="J12" i="14"/>
  <c r="I12" i="14"/>
  <c r="H12" i="14"/>
  <c r="N11" i="14"/>
  <c r="M11" i="14"/>
  <c r="L11" i="14"/>
  <c r="K11" i="14"/>
  <c r="J11" i="14"/>
  <c r="I11" i="14"/>
  <c r="H11" i="14"/>
  <c r="N10" i="14"/>
  <c r="M10" i="14"/>
  <c r="L10" i="14"/>
  <c r="K10" i="14"/>
  <c r="J10" i="14"/>
  <c r="I10" i="14"/>
  <c r="H10" i="14"/>
  <c r="N9" i="14"/>
  <c r="M9" i="14"/>
  <c r="L9" i="14"/>
  <c r="K9" i="14"/>
  <c r="J9" i="14"/>
  <c r="I9" i="14"/>
  <c r="H9" i="14"/>
  <c r="N8" i="14"/>
  <c r="M8" i="14"/>
  <c r="L8" i="14"/>
  <c r="K8" i="14"/>
  <c r="J8" i="14"/>
  <c r="I8" i="14"/>
  <c r="H8" i="14"/>
  <c r="N7" i="14"/>
  <c r="M7" i="14"/>
  <c r="L7" i="14"/>
  <c r="K7" i="14"/>
  <c r="J7" i="14"/>
  <c r="I7" i="14"/>
  <c r="H7" i="14"/>
  <c r="N41" i="13"/>
  <c r="M41" i="13"/>
  <c r="L41" i="13"/>
  <c r="K41" i="13"/>
  <c r="J41" i="13"/>
  <c r="I41" i="13"/>
  <c r="H41" i="13"/>
  <c r="N40" i="13"/>
  <c r="M40" i="13"/>
  <c r="L40" i="13"/>
  <c r="K40" i="13"/>
  <c r="J40" i="13"/>
  <c r="I40" i="13"/>
  <c r="H40" i="13"/>
  <c r="N39" i="13"/>
  <c r="M39" i="13"/>
  <c r="L39" i="13"/>
  <c r="K39" i="13"/>
  <c r="J39" i="13"/>
  <c r="I39" i="13"/>
  <c r="H39" i="13"/>
  <c r="N38" i="13"/>
  <c r="M38" i="13"/>
  <c r="L38" i="13"/>
  <c r="K38" i="13"/>
  <c r="J38" i="13"/>
  <c r="I38" i="13"/>
  <c r="H38" i="13"/>
  <c r="N37" i="13"/>
  <c r="M37" i="13"/>
  <c r="L37" i="13"/>
  <c r="K37" i="13"/>
  <c r="J37" i="13"/>
  <c r="I37" i="13"/>
  <c r="H37" i="13"/>
  <c r="N36" i="13"/>
  <c r="M36" i="13"/>
  <c r="L36" i="13"/>
  <c r="K36" i="13"/>
  <c r="J36" i="13"/>
  <c r="I36" i="13"/>
  <c r="H36" i="13"/>
  <c r="N35" i="13"/>
  <c r="M35" i="13"/>
  <c r="L35" i="13"/>
  <c r="K35" i="13"/>
  <c r="J35" i="13"/>
  <c r="I35" i="13"/>
  <c r="H35" i="13"/>
  <c r="N34" i="13"/>
  <c r="M34" i="13"/>
  <c r="L34" i="13"/>
  <c r="K34" i="13"/>
  <c r="J34" i="13"/>
  <c r="I34" i="13"/>
  <c r="H34" i="13"/>
  <c r="N33" i="13"/>
  <c r="M33" i="13"/>
  <c r="L33" i="13"/>
  <c r="K33" i="13"/>
  <c r="J33" i="13"/>
  <c r="I33" i="13"/>
  <c r="H33" i="13"/>
  <c r="N32" i="13"/>
  <c r="M32" i="13"/>
  <c r="L32" i="13"/>
  <c r="K32" i="13"/>
  <c r="J32" i="13"/>
  <c r="I32" i="13"/>
  <c r="H32" i="13"/>
  <c r="N31" i="13"/>
  <c r="M31" i="13"/>
  <c r="L31" i="13"/>
  <c r="K31" i="13"/>
  <c r="J31" i="13"/>
  <c r="I31" i="13"/>
  <c r="H31" i="13"/>
  <c r="N30" i="13"/>
  <c r="M30" i="13"/>
  <c r="L30" i="13"/>
  <c r="K30" i="13"/>
  <c r="J30" i="13"/>
  <c r="I30" i="13"/>
  <c r="H30" i="13"/>
  <c r="N29" i="13"/>
  <c r="M29" i="13"/>
  <c r="L29" i="13"/>
  <c r="K29" i="13"/>
  <c r="J29" i="13"/>
  <c r="I29" i="13"/>
  <c r="H29" i="13"/>
  <c r="N28" i="13"/>
  <c r="M28" i="13"/>
  <c r="L28" i="13"/>
  <c r="K28" i="13"/>
  <c r="J28" i="13"/>
  <c r="I28" i="13"/>
  <c r="H28" i="13"/>
  <c r="N27" i="13"/>
  <c r="M27" i="13"/>
  <c r="L27" i="13"/>
  <c r="K27" i="13"/>
  <c r="J27" i="13"/>
  <c r="I27" i="13"/>
  <c r="H27" i="13"/>
  <c r="N26" i="13"/>
  <c r="M26" i="13"/>
  <c r="L26" i="13"/>
  <c r="K26" i="13"/>
  <c r="J26" i="13"/>
  <c r="I26" i="13"/>
  <c r="H26" i="13"/>
  <c r="N25" i="13"/>
  <c r="M25" i="13"/>
  <c r="L25" i="13"/>
  <c r="K25" i="13"/>
  <c r="J25" i="13"/>
  <c r="I25" i="13"/>
  <c r="H25" i="13"/>
  <c r="N24" i="13"/>
  <c r="M24" i="13"/>
  <c r="L24" i="13"/>
  <c r="K24" i="13"/>
  <c r="J24" i="13"/>
  <c r="I24" i="13"/>
  <c r="H24" i="13"/>
  <c r="N23" i="13"/>
  <c r="M23" i="13"/>
  <c r="L23" i="13"/>
  <c r="K23" i="13"/>
  <c r="J23" i="13"/>
  <c r="I23" i="13"/>
  <c r="H23" i="13"/>
  <c r="N22" i="13"/>
  <c r="M22" i="13"/>
  <c r="L22" i="13"/>
  <c r="K22" i="13"/>
  <c r="J22" i="13"/>
  <c r="I22" i="13"/>
  <c r="H22" i="13"/>
  <c r="N21" i="13"/>
  <c r="M21" i="13"/>
  <c r="L21" i="13"/>
  <c r="K21" i="13"/>
  <c r="J21" i="13"/>
  <c r="I21" i="13"/>
  <c r="H21" i="13"/>
  <c r="N20" i="13"/>
  <c r="M20" i="13"/>
  <c r="L20" i="13"/>
  <c r="K20" i="13"/>
  <c r="J20" i="13"/>
  <c r="I20" i="13"/>
  <c r="H20" i="13"/>
  <c r="N19" i="13"/>
  <c r="M19" i="13"/>
  <c r="L19" i="13"/>
  <c r="K19" i="13"/>
  <c r="J19" i="13"/>
  <c r="I19" i="13"/>
  <c r="H19" i="13"/>
  <c r="N18" i="13"/>
  <c r="M18" i="13"/>
  <c r="L18" i="13"/>
  <c r="K18" i="13"/>
  <c r="J18" i="13"/>
  <c r="I18" i="13"/>
  <c r="H18" i="13"/>
  <c r="N17" i="13"/>
  <c r="M17" i="13"/>
  <c r="L17" i="13"/>
  <c r="K17" i="13"/>
  <c r="J17" i="13"/>
  <c r="I17" i="13"/>
  <c r="H17" i="13"/>
  <c r="N16" i="13"/>
  <c r="M16" i="13"/>
  <c r="L16" i="13"/>
  <c r="K16" i="13"/>
  <c r="J16" i="13"/>
  <c r="I16" i="13"/>
  <c r="H16" i="13"/>
  <c r="N15" i="13"/>
  <c r="M15" i="13"/>
  <c r="L15" i="13"/>
  <c r="K15" i="13"/>
  <c r="J15" i="13"/>
  <c r="I15" i="13"/>
  <c r="H15" i="13"/>
  <c r="N14" i="13"/>
  <c r="M14" i="13"/>
  <c r="L14" i="13"/>
  <c r="K14" i="13"/>
  <c r="J14" i="13"/>
  <c r="I14" i="13"/>
  <c r="H14" i="13"/>
  <c r="N13" i="13"/>
  <c r="M13" i="13"/>
  <c r="L13" i="13"/>
  <c r="K13" i="13"/>
  <c r="J13" i="13"/>
  <c r="I13" i="13"/>
  <c r="H13" i="13"/>
  <c r="N12" i="13"/>
  <c r="M12" i="13"/>
  <c r="L12" i="13"/>
  <c r="K12" i="13"/>
  <c r="J12" i="13"/>
  <c r="I12" i="13"/>
  <c r="H12" i="13"/>
  <c r="N11" i="13"/>
  <c r="M11" i="13"/>
  <c r="L11" i="13"/>
  <c r="K11" i="13"/>
  <c r="J11" i="13"/>
  <c r="I11" i="13"/>
  <c r="H11" i="13"/>
  <c r="N10" i="13"/>
  <c r="M10" i="13"/>
  <c r="L10" i="13"/>
  <c r="K10" i="13"/>
  <c r="J10" i="13"/>
  <c r="I10" i="13"/>
  <c r="H10" i="13"/>
  <c r="N9" i="13"/>
  <c r="M9" i="13"/>
  <c r="L9" i="13"/>
  <c r="K9" i="13"/>
  <c r="J9" i="13"/>
  <c r="I9" i="13"/>
  <c r="H9" i="13"/>
  <c r="N8" i="13"/>
  <c r="M8" i="13"/>
  <c r="L8" i="13"/>
  <c r="K8" i="13"/>
  <c r="J8" i="13"/>
  <c r="I8" i="13"/>
  <c r="H8" i="13"/>
  <c r="N7" i="13"/>
  <c r="M7" i="13"/>
  <c r="L7" i="13"/>
  <c r="K7" i="13"/>
  <c r="J7" i="13"/>
  <c r="I7" i="13"/>
  <c r="H7" i="13"/>
  <c r="N41" i="12"/>
  <c r="M41" i="12"/>
  <c r="L41" i="12"/>
  <c r="K41" i="12"/>
  <c r="J41" i="12"/>
  <c r="I41" i="12"/>
  <c r="H41" i="12"/>
  <c r="N40" i="12"/>
  <c r="M40" i="12"/>
  <c r="L40" i="12"/>
  <c r="K40" i="12"/>
  <c r="J40" i="12"/>
  <c r="I40" i="12"/>
  <c r="H40" i="12"/>
  <c r="N39" i="12"/>
  <c r="M39" i="12"/>
  <c r="L39" i="12"/>
  <c r="K39" i="12"/>
  <c r="J39" i="12"/>
  <c r="I39" i="12"/>
  <c r="H39" i="12"/>
  <c r="N38" i="12"/>
  <c r="M38" i="12"/>
  <c r="L38" i="12"/>
  <c r="K38" i="12"/>
  <c r="J38" i="12"/>
  <c r="I38" i="12"/>
  <c r="H38" i="12"/>
  <c r="N37" i="12"/>
  <c r="M37" i="12"/>
  <c r="L37" i="12"/>
  <c r="K37" i="12"/>
  <c r="J37" i="12"/>
  <c r="I37" i="12"/>
  <c r="H37" i="12"/>
  <c r="N36" i="12"/>
  <c r="M36" i="12"/>
  <c r="L36" i="12"/>
  <c r="K36" i="12"/>
  <c r="J36" i="12"/>
  <c r="I36" i="12"/>
  <c r="H36" i="12"/>
  <c r="N35" i="12"/>
  <c r="M35" i="12"/>
  <c r="L35" i="12"/>
  <c r="K35" i="12"/>
  <c r="J35" i="12"/>
  <c r="I35" i="12"/>
  <c r="H35" i="12"/>
  <c r="N34" i="12"/>
  <c r="M34" i="12"/>
  <c r="L34" i="12"/>
  <c r="K34" i="12"/>
  <c r="J34" i="12"/>
  <c r="I34" i="12"/>
  <c r="H34" i="12"/>
  <c r="N33" i="12"/>
  <c r="M33" i="12"/>
  <c r="L33" i="12"/>
  <c r="K33" i="12"/>
  <c r="J33" i="12"/>
  <c r="I33" i="12"/>
  <c r="H33" i="12"/>
  <c r="N32" i="12"/>
  <c r="M32" i="12"/>
  <c r="L32" i="12"/>
  <c r="K32" i="12"/>
  <c r="J32" i="12"/>
  <c r="I32" i="12"/>
  <c r="H32" i="12"/>
  <c r="N31" i="12"/>
  <c r="M31" i="12"/>
  <c r="L31" i="12"/>
  <c r="K31" i="12"/>
  <c r="J31" i="12"/>
  <c r="I31" i="12"/>
  <c r="H31" i="12"/>
  <c r="N30" i="12"/>
  <c r="M30" i="12"/>
  <c r="L30" i="12"/>
  <c r="K30" i="12"/>
  <c r="J30" i="12"/>
  <c r="I30" i="12"/>
  <c r="H30" i="12"/>
  <c r="N29" i="12"/>
  <c r="M29" i="12"/>
  <c r="L29" i="12"/>
  <c r="K29" i="12"/>
  <c r="J29" i="12"/>
  <c r="I29" i="12"/>
  <c r="H29" i="12"/>
  <c r="N28" i="12"/>
  <c r="M28" i="12"/>
  <c r="L28" i="12"/>
  <c r="K28" i="12"/>
  <c r="J28" i="12"/>
  <c r="I28" i="12"/>
  <c r="H28" i="12"/>
  <c r="N27" i="12"/>
  <c r="M27" i="12"/>
  <c r="L27" i="12"/>
  <c r="K27" i="12"/>
  <c r="J27" i="12"/>
  <c r="I27" i="12"/>
  <c r="H27" i="12"/>
  <c r="N26" i="12"/>
  <c r="M26" i="12"/>
  <c r="L26" i="12"/>
  <c r="K26" i="12"/>
  <c r="J26" i="12"/>
  <c r="I26" i="12"/>
  <c r="H26" i="12"/>
  <c r="N25" i="12"/>
  <c r="M25" i="12"/>
  <c r="L25" i="12"/>
  <c r="K25" i="12"/>
  <c r="J25" i="12"/>
  <c r="I25" i="12"/>
  <c r="H25" i="12"/>
  <c r="N24" i="12"/>
  <c r="M24" i="12"/>
  <c r="L24" i="12"/>
  <c r="K24" i="12"/>
  <c r="J24" i="12"/>
  <c r="I24" i="12"/>
  <c r="H24" i="12"/>
  <c r="N23" i="12"/>
  <c r="M23" i="12"/>
  <c r="L23" i="12"/>
  <c r="K23" i="12"/>
  <c r="J23" i="12"/>
  <c r="I23" i="12"/>
  <c r="H23" i="12"/>
  <c r="N22" i="12"/>
  <c r="M22" i="12"/>
  <c r="L22" i="12"/>
  <c r="K22" i="12"/>
  <c r="J22" i="12"/>
  <c r="I22" i="12"/>
  <c r="H22" i="12"/>
  <c r="N21" i="12"/>
  <c r="M21" i="12"/>
  <c r="L21" i="12"/>
  <c r="K21" i="12"/>
  <c r="J21" i="12"/>
  <c r="I21" i="12"/>
  <c r="H21" i="12"/>
  <c r="N20" i="12"/>
  <c r="M20" i="12"/>
  <c r="L20" i="12"/>
  <c r="K20" i="12"/>
  <c r="J20" i="12"/>
  <c r="I20" i="12"/>
  <c r="H20" i="12"/>
  <c r="N19" i="12"/>
  <c r="M19" i="12"/>
  <c r="L19" i="12"/>
  <c r="K19" i="12"/>
  <c r="J19" i="12"/>
  <c r="I19" i="12"/>
  <c r="H19" i="12"/>
  <c r="N18" i="12"/>
  <c r="M18" i="12"/>
  <c r="L18" i="12"/>
  <c r="K18" i="12"/>
  <c r="J18" i="12"/>
  <c r="I18" i="12"/>
  <c r="H18" i="12"/>
  <c r="N17" i="12"/>
  <c r="M17" i="12"/>
  <c r="L17" i="12"/>
  <c r="K17" i="12"/>
  <c r="J17" i="12"/>
  <c r="I17" i="12"/>
  <c r="H17" i="12"/>
  <c r="N16" i="12"/>
  <c r="M16" i="12"/>
  <c r="L16" i="12"/>
  <c r="K16" i="12"/>
  <c r="J16" i="12"/>
  <c r="I16" i="12"/>
  <c r="H16" i="12"/>
  <c r="N15" i="12"/>
  <c r="M15" i="12"/>
  <c r="L15" i="12"/>
  <c r="K15" i="12"/>
  <c r="J15" i="12"/>
  <c r="I15" i="12"/>
  <c r="H15" i="12"/>
  <c r="N14" i="12"/>
  <c r="M14" i="12"/>
  <c r="L14" i="12"/>
  <c r="K14" i="12"/>
  <c r="J14" i="12"/>
  <c r="I14" i="12"/>
  <c r="H14" i="12"/>
  <c r="N13" i="12"/>
  <c r="M13" i="12"/>
  <c r="L13" i="12"/>
  <c r="K13" i="12"/>
  <c r="J13" i="12"/>
  <c r="I13" i="12"/>
  <c r="H13" i="12"/>
  <c r="N12" i="12"/>
  <c r="M12" i="12"/>
  <c r="L12" i="12"/>
  <c r="K12" i="12"/>
  <c r="J12" i="12"/>
  <c r="I12" i="12"/>
  <c r="H12" i="12"/>
  <c r="N11" i="12"/>
  <c r="M11" i="12"/>
  <c r="L11" i="12"/>
  <c r="K11" i="12"/>
  <c r="J11" i="12"/>
  <c r="I11" i="12"/>
  <c r="H11" i="12"/>
  <c r="N10" i="12"/>
  <c r="M10" i="12"/>
  <c r="L10" i="12"/>
  <c r="K10" i="12"/>
  <c r="J10" i="12"/>
  <c r="I10" i="12"/>
  <c r="H10" i="12"/>
  <c r="N9" i="12"/>
  <c r="M9" i="12"/>
  <c r="L9" i="12"/>
  <c r="K9" i="12"/>
  <c r="J9" i="12"/>
  <c r="I9" i="12"/>
  <c r="H9" i="12"/>
  <c r="N8" i="12"/>
  <c r="M8" i="12"/>
  <c r="L8" i="12"/>
  <c r="K8" i="12"/>
  <c r="J8" i="12"/>
  <c r="I8" i="12"/>
  <c r="H8" i="12"/>
  <c r="N7" i="12"/>
  <c r="M7" i="12"/>
  <c r="L7" i="12"/>
  <c r="K7" i="12"/>
  <c r="J7" i="12"/>
  <c r="I7" i="12"/>
  <c r="H7" i="12"/>
  <c r="N41" i="11"/>
  <c r="M41" i="11"/>
  <c r="L41" i="11"/>
  <c r="K41" i="11"/>
  <c r="J41" i="11"/>
  <c r="I41" i="11"/>
  <c r="H41" i="11"/>
  <c r="N40" i="11"/>
  <c r="M40" i="11"/>
  <c r="L40" i="11"/>
  <c r="K40" i="11"/>
  <c r="J40" i="11"/>
  <c r="I40" i="11"/>
  <c r="H40" i="11"/>
  <c r="N39" i="11"/>
  <c r="M39" i="11"/>
  <c r="L39" i="11"/>
  <c r="K39" i="11"/>
  <c r="J39" i="11"/>
  <c r="I39" i="11"/>
  <c r="H39" i="11"/>
  <c r="N38" i="11"/>
  <c r="M38" i="11"/>
  <c r="L38" i="11"/>
  <c r="K38" i="11"/>
  <c r="J38" i="11"/>
  <c r="I38" i="11"/>
  <c r="H38" i="11"/>
  <c r="N37" i="11"/>
  <c r="M37" i="11"/>
  <c r="L37" i="11"/>
  <c r="K37" i="11"/>
  <c r="J37" i="11"/>
  <c r="I37" i="11"/>
  <c r="H37" i="11"/>
  <c r="N36" i="11"/>
  <c r="M36" i="11"/>
  <c r="L36" i="11"/>
  <c r="K36" i="11"/>
  <c r="J36" i="11"/>
  <c r="I36" i="11"/>
  <c r="H36" i="11"/>
  <c r="N35" i="11"/>
  <c r="M35" i="11"/>
  <c r="L35" i="11"/>
  <c r="K35" i="11"/>
  <c r="J35" i="11"/>
  <c r="I35" i="11"/>
  <c r="H35" i="11"/>
  <c r="N34" i="11"/>
  <c r="M34" i="11"/>
  <c r="L34" i="11"/>
  <c r="K34" i="11"/>
  <c r="J34" i="11"/>
  <c r="I34" i="11"/>
  <c r="H34" i="11"/>
  <c r="N33" i="11"/>
  <c r="M33" i="11"/>
  <c r="L33" i="11"/>
  <c r="K33" i="11"/>
  <c r="J33" i="11"/>
  <c r="I33" i="11"/>
  <c r="H33" i="11"/>
  <c r="N32" i="11"/>
  <c r="M32" i="11"/>
  <c r="L32" i="11"/>
  <c r="K32" i="11"/>
  <c r="J32" i="11"/>
  <c r="I32" i="11"/>
  <c r="H32" i="11"/>
  <c r="N31" i="11"/>
  <c r="M31" i="11"/>
  <c r="L31" i="11"/>
  <c r="K31" i="11"/>
  <c r="J31" i="11"/>
  <c r="I31" i="11"/>
  <c r="H31" i="11"/>
  <c r="N30" i="11"/>
  <c r="M30" i="11"/>
  <c r="L30" i="11"/>
  <c r="K30" i="11"/>
  <c r="J30" i="11"/>
  <c r="I30" i="11"/>
  <c r="H30" i="11"/>
  <c r="N29" i="11"/>
  <c r="M29" i="11"/>
  <c r="L29" i="11"/>
  <c r="K29" i="11"/>
  <c r="J29" i="11"/>
  <c r="I29" i="11"/>
  <c r="H29" i="11"/>
  <c r="N28" i="11"/>
  <c r="M28" i="11"/>
  <c r="L28" i="11"/>
  <c r="K28" i="11"/>
  <c r="J28" i="11"/>
  <c r="I28" i="11"/>
  <c r="H28" i="11"/>
  <c r="N27" i="11"/>
  <c r="M27" i="11"/>
  <c r="T15" i="1" s="1"/>
  <c r="L27" i="11"/>
  <c r="S15" i="1" s="1"/>
  <c r="K27" i="11"/>
  <c r="R15" i="1" s="1"/>
  <c r="J27" i="11"/>
  <c r="Q15" i="1" s="1"/>
  <c r="I27" i="11"/>
  <c r="P15" i="1" s="1"/>
  <c r="H27" i="11"/>
  <c r="O15" i="1" s="1"/>
  <c r="N26" i="11"/>
  <c r="M26" i="11"/>
  <c r="L26" i="11"/>
  <c r="K26" i="11"/>
  <c r="J26" i="11"/>
  <c r="I26" i="11"/>
  <c r="H26" i="11"/>
  <c r="N25" i="11"/>
  <c r="M25" i="11"/>
  <c r="L25" i="11"/>
  <c r="K25" i="11"/>
  <c r="J25" i="11"/>
  <c r="I25" i="11"/>
  <c r="H25" i="11"/>
  <c r="N24" i="11"/>
  <c r="M24" i="11"/>
  <c r="L24" i="11"/>
  <c r="K24" i="11"/>
  <c r="J24" i="11"/>
  <c r="I24" i="11"/>
  <c r="H24" i="11"/>
  <c r="N23" i="11"/>
  <c r="M23" i="11"/>
  <c r="L23" i="11"/>
  <c r="K23" i="11"/>
  <c r="J23" i="11"/>
  <c r="I23" i="11"/>
  <c r="H23" i="11"/>
  <c r="N22" i="11"/>
  <c r="M22" i="11"/>
  <c r="L22" i="11"/>
  <c r="K22" i="11"/>
  <c r="J22" i="11"/>
  <c r="I22" i="11"/>
  <c r="H22" i="11"/>
  <c r="N21" i="11"/>
  <c r="M21" i="11"/>
  <c r="L21" i="11"/>
  <c r="K21" i="11"/>
  <c r="J21" i="11"/>
  <c r="I21" i="11"/>
  <c r="H21" i="11"/>
  <c r="N20" i="11"/>
  <c r="M20" i="11"/>
  <c r="L20" i="11"/>
  <c r="K20" i="11"/>
  <c r="J20" i="11"/>
  <c r="I20" i="11"/>
  <c r="H20" i="11"/>
  <c r="N19" i="11"/>
  <c r="M19" i="11"/>
  <c r="L19" i="11"/>
  <c r="K19" i="11"/>
  <c r="J19" i="11"/>
  <c r="I19" i="11"/>
  <c r="H19" i="11"/>
  <c r="N18" i="11"/>
  <c r="M18" i="11"/>
  <c r="L18" i="11"/>
  <c r="K18" i="11"/>
  <c r="J18" i="11"/>
  <c r="I18" i="11"/>
  <c r="H18" i="11"/>
  <c r="N17" i="11"/>
  <c r="M17" i="11"/>
  <c r="L17" i="11"/>
  <c r="K17" i="11"/>
  <c r="J17" i="11"/>
  <c r="I17" i="11"/>
  <c r="H17" i="11"/>
  <c r="N16" i="11"/>
  <c r="M16" i="11"/>
  <c r="L16" i="11"/>
  <c r="K16" i="11"/>
  <c r="J16" i="11"/>
  <c r="I16" i="11"/>
  <c r="H16" i="11"/>
  <c r="N15" i="11"/>
  <c r="M15" i="11"/>
  <c r="L15" i="11"/>
  <c r="K15" i="11"/>
  <c r="J15" i="11"/>
  <c r="I15" i="11"/>
  <c r="H15" i="11"/>
  <c r="N14" i="11"/>
  <c r="M14" i="11"/>
  <c r="L14" i="11"/>
  <c r="K14" i="11"/>
  <c r="J14" i="11"/>
  <c r="I14" i="11"/>
  <c r="H14" i="11"/>
  <c r="N13" i="11"/>
  <c r="M13" i="11"/>
  <c r="L13" i="11"/>
  <c r="K13" i="11"/>
  <c r="J13" i="11"/>
  <c r="I13" i="11"/>
  <c r="H13" i="11"/>
  <c r="N12" i="11"/>
  <c r="M12" i="11"/>
  <c r="L12" i="11"/>
  <c r="K12" i="11"/>
  <c r="J12" i="11"/>
  <c r="I12" i="11"/>
  <c r="H12" i="11"/>
  <c r="N11" i="11"/>
  <c r="M11" i="11"/>
  <c r="L11" i="11"/>
  <c r="K11" i="11"/>
  <c r="J11" i="11"/>
  <c r="I11" i="11"/>
  <c r="H11" i="11"/>
  <c r="N10" i="11"/>
  <c r="M10" i="11"/>
  <c r="L10" i="11"/>
  <c r="K10" i="11"/>
  <c r="J10" i="11"/>
  <c r="I10" i="11"/>
  <c r="H10" i="11"/>
  <c r="N9" i="11"/>
  <c r="M9" i="11"/>
  <c r="L9" i="11"/>
  <c r="K9" i="11"/>
  <c r="J9" i="11"/>
  <c r="I9" i="11"/>
  <c r="H9" i="11"/>
  <c r="N8" i="11"/>
  <c r="M8" i="11"/>
  <c r="L8" i="11"/>
  <c r="K8" i="11"/>
  <c r="J8" i="11"/>
  <c r="I8" i="11"/>
  <c r="H8" i="11"/>
  <c r="N7" i="11"/>
  <c r="M7" i="11"/>
  <c r="L7" i="11"/>
  <c r="K7" i="11"/>
  <c r="J7" i="11"/>
  <c r="I7" i="11"/>
  <c r="H7" i="11"/>
  <c r="N41" i="10"/>
  <c r="M41" i="10"/>
  <c r="L41" i="10"/>
  <c r="K41" i="10"/>
  <c r="J41" i="10"/>
  <c r="I41" i="10"/>
  <c r="H41" i="10"/>
  <c r="N40" i="10"/>
  <c r="M40" i="10"/>
  <c r="L40" i="10"/>
  <c r="K40" i="10"/>
  <c r="J40" i="10"/>
  <c r="I40" i="10"/>
  <c r="H40" i="10"/>
  <c r="N39" i="10"/>
  <c r="M39" i="10"/>
  <c r="L39" i="10"/>
  <c r="K39" i="10"/>
  <c r="J39" i="10"/>
  <c r="I39" i="10"/>
  <c r="H39" i="10"/>
  <c r="N38" i="10"/>
  <c r="M38" i="10"/>
  <c r="L38" i="10"/>
  <c r="K38" i="10"/>
  <c r="J38" i="10"/>
  <c r="I38" i="10"/>
  <c r="H38" i="10"/>
  <c r="N37" i="10"/>
  <c r="M37" i="10"/>
  <c r="L37" i="10"/>
  <c r="K37" i="10"/>
  <c r="J37" i="10"/>
  <c r="I37" i="10"/>
  <c r="H37" i="10"/>
  <c r="N36" i="10"/>
  <c r="M36" i="10"/>
  <c r="L36" i="10"/>
  <c r="K36" i="10"/>
  <c r="J36" i="10"/>
  <c r="I36" i="10"/>
  <c r="H36" i="10"/>
  <c r="N35" i="10"/>
  <c r="M35" i="10"/>
  <c r="L35" i="10"/>
  <c r="K35" i="10"/>
  <c r="J35" i="10"/>
  <c r="I35" i="10"/>
  <c r="H35" i="10"/>
  <c r="N34" i="10"/>
  <c r="M34" i="10"/>
  <c r="L34" i="10"/>
  <c r="K34" i="10"/>
  <c r="J34" i="10"/>
  <c r="I34" i="10"/>
  <c r="H34" i="10"/>
  <c r="N33" i="10"/>
  <c r="M33" i="10"/>
  <c r="L33" i="10"/>
  <c r="K33" i="10"/>
  <c r="J33" i="10"/>
  <c r="I33" i="10"/>
  <c r="H33" i="10"/>
  <c r="N32" i="10"/>
  <c r="M32" i="10"/>
  <c r="L32" i="10"/>
  <c r="K32" i="10"/>
  <c r="J32" i="10"/>
  <c r="I32" i="10"/>
  <c r="H32" i="10"/>
  <c r="N31" i="10"/>
  <c r="M31" i="10"/>
  <c r="L31" i="10"/>
  <c r="K31" i="10"/>
  <c r="J31" i="10"/>
  <c r="I31" i="10"/>
  <c r="H31" i="10"/>
  <c r="N30" i="10"/>
  <c r="M30" i="10"/>
  <c r="L30" i="10"/>
  <c r="K30" i="10"/>
  <c r="J30" i="10"/>
  <c r="I30" i="10"/>
  <c r="H30" i="10"/>
  <c r="N29" i="10"/>
  <c r="M29" i="10"/>
  <c r="L29" i="10"/>
  <c r="K29" i="10"/>
  <c r="J29" i="10"/>
  <c r="I29" i="10"/>
  <c r="H29" i="10"/>
  <c r="N28" i="10"/>
  <c r="M28" i="10"/>
  <c r="L28" i="10"/>
  <c r="K28" i="10"/>
  <c r="J28" i="10"/>
  <c r="I28" i="10"/>
  <c r="H28" i="10"/>
  <c r="N27" i="10"/>
  <c r="M27" i="10"/>
  <c r="L27" i="10"/>
  <c r="K27" i="10"/>
  <c r="J27" i="10"/>
  <c r="I27" i="10"/>
  <c r="H27" i="10"/>
  <c r="N26" i="10"/>
  <c r="M26" i="10"/>
  <c r="L26" i="10"/>
  <c r="K26" i="10"/>
  <c r="J26" i="10"/>
  <c r="I26" i="10"/>
  <c r="H26" i="10"/>
  <c r="N25" i="10"/>
  <c r="M25" i="10"/>
  <c r="L25" i="10"/>
  <c r="K25" i="10"/>
  <c r="J25" i="10"/>
  <c r="I25" i="10"/>
  <c r="H25" i="10"/>
  <c r="N24" i="10"/>
  <c r="M24" i="10"/>
  <c r="L24" i="10"/>
  <c r="K24" i="10"/>
  <c r="J24" i="10"/>
  <c r="I24" i="10"/>
  <c r="H24" i="10"/>
  <c r="N23" i="10"/>
  <c r="M23" i="10"/>
  <c r="L23" i="10"/>
  <c r="K23" i="10"/>
  <c r="J23" i="10"/>
  <c r="I23" i="10"/>
  <c r="H23" i="10"/>
  <c r="N22" i="10"/>
  <c r="M22" i="10"/>
  <c r="L22" i="10"/>
  <c r="K22" i="10"/>
  <c r="J22" i="10"/>
  <c r="I22" i="10"/>
  <c r="H22" i="10"/>
  <c r="N21" i="10"/>
  <c r="M21" i="10"/>
  <c r="L21" i="10"/>
  <c r="K21" i="10"/>
  <c r="J21" i="10"/>
  <c r="I21" i="10"/>
  <c r="H21" i="10"/>
  <c r="N20" i="10"/>
  <c r="M20" i="10"/>
  <c r="L20" i="10"/>
  <c r="K20" i="10"/>
  <c r="J20" i="10"/>
  <c r="I20" i="10"/>
  <c r="H20" i="10"/>
  <c r="N19" i="10"/>
  <c r="M19" i="10"/>
  <c r="L19" i="10"/>
  <c r="K19" i="10"/>
  <c r="J19" i="10"/>
  <c r="I19" i="10"/>
  <c r="H19" i="10"/>
  <c r="N18" i="10"/>
  <c r="M18" i="10"/>
  <c r="L18" i="10"/>
  <c r="K18" i="10"/>
  <c r="J18" i="10"/>
  <c r="I18" i="10"/>
  <c r="H18" i="10"/>
  <c r="N17" i="10"/>
  <c r="M17" i="10"/>
  <c r="L17" i="10"/>
  <c r="K17" i="10"/>
  <c r="J17" i="10"/>
  <c r="I17" i="10"/>
  <c r="H17" i="10"/>
  <c r="N16" i="10"/>
  <c r="M16" i="10"/>
  <c r="L16" i="10"/>
  <c r="K16" i="10"/>
  <c r="J16" i="10"/>
  <c r="I16" i="10"/>
  <c r="H16" i="10"/>
  <c r="N15" i="10"/>
  <c r="M15" i="10"/>
  <c r="L15" i="10"/>
  <c r="K15" i="10"/>
  <c r="J15" i="10"/>
  <c r="I15" i="10"/>
  <c r="H15" i="10"/>
  <c r="N14" i="10"/>
  <c r="M14" i="10"/>
  <c r="L14" i="10"/>
  <c r="K14" i="10"/>
  <c r="J14" i="10"/>
  <c r="I14" i="10"/>
  <c r="H14" i="10"/>
  <c r="N13" i="10"/>
  <c r="M13" i="10"/>
  <c r="L13" i="10"/>
  <c r="K13" i="10"/>
  <c r="J13" i="10"/>
  <c r="I13" i="10"/>
  <c r="H13" i="10"/>
  <c r="N12" i="10"/>
  <c r="M12" i="10"/>
  <c r="L12" i="10"/>
  <c r="K12" i="10"/>
  <c r="J12" i="10"/>
  <c r="I12" i="10"/>
  <c r="H12" i="10"/>
  <c r="N11" i="10"/>
  <c r="M11" i="10"/>
  <c r="L11" i="10"/>
  <c r="K11" i="10"/>
  <c r="J11" i="10"/>
  <c r="I11" i="10"/>
  <c r="H11" i="10"/>
  <c r="N10" i="10"/>
  <c r="M10" i="10"/>
  <c r="L10" i="10"/>
  <c r="K10" i="10"/>
  <c r="J10" i="10"/>
  <c r="I10" i="10"/>
  <c r="H10" i="10"/>
  <c r="N9" i="10"/>
  <c r="M9" i="10"/>
  <c r="L9" i="10"/>
  <c r="K9" i="10"/>
  <c r="J9" i="10"/>
  <c r="I9" i="10"/>
  <c r="H9" i="10"/>
  <c r="N8" i="10"/>
  <c r="M8" i="10"/>
  <c r="L8" i="10"/>
  <c r="K8" i="10"/>
  <c r="J8" i="10"/>
  <c r="I8" i="10"/>
  <c r="H8" i="10"/>
  <c r="N7" i="10"/>
  <c r="M7" i="10"/>
  <c r="L7" i="10"/>
  <c r="K7" i="10"/>
  <c r="J7" i="10"/>
  <c r="I7" i="10"/>
  <c r="H7" i="10"/>
  <c r="P12" i="1"/>
  <c r="Q12" i="1"/>
  <c r="R12" i="1"/>
  <c r="S12" i="1"/>
  <c r="T12" i="1"/>
  <c r="O12" i="1"/>
  <c r="N41" i="9"/>
  <c r="M41" i="9"/>
  <c r="L41" i="9"/>
  <c r="K41" i="9"/>
  <c r="J41" i="9"/>
  <c r="I41" i="9"/>
  <c r="H41" i="9"/>
  <c r="N40" i="9"/>
  <c r="M40" i="9"/>
  <c r="L40" i="9"/>
  <c r="K40" i="9"/>
  <c r="J40" i="9"/>
  <c r="I40" i="9"/>
  <c r="H40" i="9"/>
  <c r="N39" i="9"/>
  <c r="M39" i="9"/>
  <c r="L39" i="9"/>
  <c r="K39" i="9"/>
  <c r="J39" i="9"/>
  <c r="I39" i="9"/>
  <c r="H39" i="9"/>
  <c r="N38" i="9"/>
  <c r="M38" i="9"/>
  <c r="L38" i="9"/>
  <c r="K38" i="9"/>
  <c r="J38" i="9"/>
  <c r="I38" i="9"/>
  <c r="H38" i="9"/>
  <c r="N37" i="9"/>
  <c r="M37" i="9"/>
  <c r="L37" i="9"/>
  <c r="K37" i="9"/>
  <c r="J37" i="9"/>
  <c r="I37" i="9"/>
  <c r="H37" i="9"/>
  <c r="N36" i="9"/>
  <c r="M36" i="9"/>
  <c r="L36" i="9"/>
  <c r="K36" i="9"/>
  <c r="J36" i="9"/>
  <c r="I36" i="9"/>
  <c r="H36" i="9"/>
  <c r="N35" i="9"/>
  <c r="M35" i="9"/>
  <c r="L35" i="9"/>
  <c r="K35" i="9"/>
  <c r="J35" i="9"/>
  <c r="I35" i="9"/>
  <c r="H35" i="9"/>
  <c r="N34" i="9"/>
  <c r="M34" i="9"/>
  <c r="L34" i="9"/>
  <c r="K34" i="9"/>
  <c r="J34" i="9"/>
  <c r="I34" i="9"/>
  <c r="H34" i="9"/>
  <c r="N33" i="9"/>
  <c r="M33" i="9"/>
  <c r="L33" i="9"/>
  <c r="K33" i="9"/>
  <c r="J33" i="9"/>
  <c r="I33" i="9"/>
  <c r="H33" i="9"/>
  <c r="N32" i="9"/>
  <c r="M32" i="9"/>
  <c r="L32" i="9"/>
  <c r="K32" i="9"/>
  <c r="J32" i="9"/>
  <c r="I32" i="9"/>
  <c r="H32" i="9"/>
  <c r="N31" i="9"/>
  <c r="M31" i="9"/>
  <c r="L31" i="9"/>
  <c r="K31" i="9"/>
  <c r="J31" i="9"/>
  <c r="I31" i="9"/>
  <c r="H31" i="9"/>
  <c r="N30" i="9"/>
  <c r="M30" i="9"/>
  <c r="L30" i="9"/>
  <c r="K30" i="9"/>
  <c r="J30" i="9"/>
  <c r="I30" i="9"/>
  <c r="H30" i="9"/>
  <c r="N29" i="9"/>
  <c r="M29" i="9"/>
  <c r="L29" i="9"/>
  <c r="K29" i="9"/>
  <c r="J29" i="9"/>
  <c r="I29" i="9"/>
  <c r="H29" i="9"/>
  <c r="N28" i="9"/>
  <c r="M28" i="9"/>
  <c r="L28" i="9"/>
  <c r="K28" i="9"/>
  <c r="J28" i="9"/>
  <c r="I28" i="9"/>
  <c r="H28" i="9"/>
  <c r="N27" i="9"/>
  <c r="M27" i="9"/>
  <c r="L27" i="9"/>
  <c r="K27" i="9"/>
  <c r="J27" i="9"/>
  <c r="I27" i="9"/>
  <c r="H27" i="9"/>
  <c r="N26" i="9"/>
  <c r="M26" i="9"/>
  <c r="L26" i="9"/>
  <c r="K26" i="9"/>
  <c r="J26" i="9"/>
  <c r="I26" i="9"/>
  <c r="H26" i="9"/>
  <c r="N25" i="9"/>
  <c r="M25" i="9"/>
  <c r="L25" i="9"/>
  <c r="K25" i="9"/>
  <c r="J25" i="9"/>
  <c r="I25" i="9"/>
  <c r="H25" i="9"/>
  <c r="N24" i="9"/>
  <c r="M24" i="9"/>
  <c r="L24" i="9"/>
  <c r="K24" i="9"/>
  <c r="J24" i="9"/>
  <c r="I24" i="9"/>
  <c r="H24" i="9"/>
  <c r="N23" i="9"/>
  <c r="M23" i="9"/>
  <c r="L23" i="9"/>
  <c r="K23" i="9"/>
  <c r="J23" i="9"/>
  <c r="I23" i="9"/>
  <c r="H23" i="9"/>
  <c r="N22" i="9"/>
  <c r="M22" i="9"/>
  <c r="L22" i="9"/>
  <c r="K22" i="9"/>
  <c r="J22" i="9"/>
  <c r="I22" i="9"/>
  <c r="H22" i="9"/>
  <c r="N21" i="9"/>
  <c r="M21" i="9"/>
  <c r="L21" i="9"/>
  <c r="K21" i="9"/>
  <c r="J21" i="9"/>
  <c r="I21" i="9"/>
  <c r="H21" i="9"/>
  <c r="N20" i="9"/>
  <c r="M20" i="9"/>
  <c r="L20" i="9"/>
  <c r="K20" i="9"/>
  <c r="J20" i="9"/>
  <c r="I20" i="9"/>
  <c r="H20" i="9"/>
  <c r="N19" i="9"/>
  <c r="M19" i="9"/>
  <c r="L19" i="9"/>
  <c r="K19" i="9"/>
  <c r="J19" i="9"/>
  <c r="I19" i="9"/>
  <c r="H19" i="9"/>
  <c r="N18" i="9"/>
  <c r="M18" i="9"/>
  <c r="L18" i="9"/>
  <c r="K18" i="9"/>
  <c r="J18" i="9"/>
  <c r="I18" i="9"/>
  <c r="H18" i="9"/>
  <c r="N17" i="9"/>
  <c r="M17" i="9"/>
  <c r="L17" i="9"/>
  <c r="K17" i="9"/>
  <c r="J17" i="9"/>
  <c r="I17" i="9"/>
  <c r="H17" i="9"/>
  <c r="N16" i="9"/>
  <c r="M16" i="9"/>
  <c r="L16" i="9"/>
  <c r="K16" i="9"/>
  <c r="J16" i="9"/>
  <c r="I16" i="9"/>
  <c r="H16" i="9"/>
  <c r="N15" i="9"/>
  <c r="M15" i="9"/>
  <c r="L15" i="9"/>
  <c r="K15" i="9"/>
  <c r="J15" i="9"/>
  <c r="I15" i="9"/>
  <c r="H15" i="9"/>
  <c r="N14" i="9"/>
  <c r="M14" i="9"/>
  <c r="L14" i="9"/>
  <c r="K14" i="9"/>
  <c r="J14" i="9"/>
  <c r="I14" i="9"/>
  <c r="H14" i="9"/>
  <c r="N13" i="9"/>
  <c r="M13" i="9"/>
  <c r="L13" i="9"/>
  <c r="K13" i="9"/>
  <c r="J13" i="9"/>
  <c r="I13" i="9"/>
  <c r="H13" i="9"/>
  <c r="N12" i="9"/>
  <c r="M12" i="9"/>
  <c r="L12" i="9"/>
  <c r="K12" i="9"/>
  <c r="J12" i="9"/>
  <c r="I12" i="9"/>
  <c r="H12" i="9"/>
  <c r="N11" i="9"/>
  <c r="M11" i="9"/>
  <c r="L11" i="9"/>
  <c r="K11" i="9"/>
  <c r="J11" i="9"/>
  <c r="I11" i="9"/>
  <c r="H11" i="9"/>
  <c r="N10" i="9"/>
  <c r="M10" i="9"/>
  <c r="L10" i="9"/>
  <c r="K10" i="9"/>
  <c r="J10" i="9"/>
  <c r="I10" i="9"/>
  <c r="H10" i="9"/>
  <c r="N9" i="9"/>
  <c r="M9" i="9"/>
  <c r="L9" i="9"/>
  <c r="K9" i="9"/>
  <c r="J9" i="9"/>
  <c r="I9" i="9"/>
  <c r="H9" i="9"/>
  <c r="N8" i="9"/>
  <c r="M8" i="9"/>
  <c r="L8" i="9"/>
  <c r="K8" i="9"/>
  <c r="J8" i="9"/>
  <c r="I8" i="9"/>
  <c r="H8" i="9"/>
  <c r="N7" i="9"/>
  <c r="M7" i="9"/>
  <c r="L7" i="9"/>
  <c r="K7" i="9"/>
  <c r="J7" i="9"/>
  <c r="I7" i="9"/>
  <c r="H7" i="9"/>
  <c r="P10" i="1"/>
  <c r="Q10" i="1"/>
  <c r="R10" i="1"/>
  <c r="S10" i="1"/>
  <c r="T10" i="1"/>
  <c r="O10" i="1"/>
  <c r="N41" i="8"/>
  <c r="M41" i="8"/>
  <c r="L41" i="8"/>
  <c r="K41" i="8"/>
  <c r="J41" i="8"/>
  <c r="I41" i="8"/>
  <c r="H41" i="8"/>
  <c r="N40" i="8"/>
  <c r="M40" i="8"/>
  <c r="L40" i="8"/>
  <c r="K40" i="8"/>
  <c r="J40" i="8"/>
  <c r="I40" i="8"/>
  <c r="H40" i="8"/>
  <c r="N39" i="8"/>
  <c r="M39" i="8"/>
  <c r="L39" i="8"/>
  <c r="K39" i="8"/>
  <c r="J39" i="8"/>
  <c r="I39" i="8"/>
  <c r="H39" i="8"/>
  <c r="N38" i="8"/>
  <c r="M38" i="8"/>
  <c r="L38" i="8"/>
  <c r="K38" i="8"/>
  <c r="J38" i="8"/>
  <c r="I38" i="8"/>
  <c r="H38" i="8"/>
  <c r="N37" i="8"/>
  <c r="M37" i="8"/>
  <c r="L37" i="8"/>
  <c r="K37" i="8"/>
  <c r="J37" i="8"/>
  <c r="I37" i="8"/>
  <c r="H37" i="8"/>
  <c r="N36" i="8"/>
  <c r="M36" i="8"/>
  <c r="L36" i="8"/>
  <c r="K36" i="8"/>
  <c r="J36" i="8"/>
  <c r="I36" i="8"/>
  <c r="H36" i="8"/>
  <c r="N35" i="8"/>
  <c r="M35" i="8"/>
  <c r="L35" i="8"/>
  <c r="K35" i="8"/>
  <c r="J35" i="8"/>
  <c r="I35" i="8"/>
  <c r="H35" i="8"/>
  <c r="N34" i="8"/>
  <c r="M34" i="8"/>
  <c r="L34" i="8"/>
  <c r="K34" i="8"/>
  <c r="J34" i="8"/>
  <c r="I34" i="8"/>
  <c r="H34" i="8"/>
  <c r="N33" i="8"/>
  <c r="M33" i="8"/>
  <c r="L33" i="8"/>
  <c r="K33" i="8"/>
  <c r="J33" i="8"/>
  <c r="I33" i="8"/>
  <c r="H33" i="8"/>
  <c r="N32" i="8"/>
  <c r="M32" i="8"/>
  <c r="L32" i="8"/>
  <c r="K32" i="8"/>
  <c r="J32" i="8"/>
  <c r="I32" i="8"/>
  <c r="H32" i="8"/>
  <c r="N31" i="8"/>
  <c r="M31" i="8"/>
  <c r="L31" i="8"/>
  <c r="K31" i="8"/>
  <c r="J31" i="8"/>
  <c r="I31" i="8"/>
  <c r="H31" i="8"/>
  <c r="N30" i="8"/>
  <c r="M30" i="8"/>
  <c r="L30" i="8"/>
  <c r="K30" i="8"/>
  <c r="J30" i="8"/>
  <c r="I30" i="8"/>
  <c r="H30" i="8"/>
  <c r="N29" i="8"/>
  <c r="M29" i="8"/>
  <c r="L29" i="8"/>
  <c r="K29" i="8"/>
  <c r="J29" i="8"/>
  <c r="I29" i="8"/>
  <c r="H29" i="8"/>
  <c r="N28" i="8"/>
  <c r="M28" i="8"/>
  <c r="L28" i="8"/>
  <c r="K28" i="8"/>
  <c r="J28" i="8"/>
  <c r="I28" i="8"/>
  <c r="H28" i="8"/>
  <c r="N27" i="8"/>
  <c r="M27" i="8"/>
  <c r="L27" i="8"/>
  <c r="K27" i="8"/>
  <c r="J27" i="8"/>
  <c r="I27" i="8"/>
  <c r="H27" i="8"/>
  <c r="N26" i="8"/>
  <c r="M26" i="8"/>
  <c r="L26" i="8"/>
  <c r="K26" i="8"/>
  <c r="J26" i="8"/>
  <c r="I26" i="8"/>
  <c r="H26" i="8"/>
  <c r="N25" i="8"/>
  <c r="M25" i="8"/>
  <c r="L25" i="8"/>
  <c r="K25" i="8"/>
  <c r="J25" i="8"/>
  <c r="I25" i="8"/>
  <c r="H25" i="8"/>
  <c r="N24" i="8"/>
  <c r="M24" i="8"/>
  <c r="L24" i="8"/>
  <c r="K24" i="8"/>
  <c r="J24" i="8"/>
  <c r="I24" i="8"/>
  <c r="H24" i="8"/>
  <c r="N23" i="8"/>
  <c r="M23" i="8"/>
  <c r="L23" i="8"/>
  <c r="K23" i="8"/>
  <c r="J23" i="8"/>
  <c r="I23" i="8"/>
  <c r="H23" i="8"/>
  <c r="N22" i="8"/>
  <c r="M22" i="8"/>
  <c r="L22" i="8"/>
  <c r="K22" i="8"/>
  <c r="J22" i="8"/>
  <c r="I22" i="8"/>
  <c r="H22" i="8"/>
  <c r="N21" i="8"/>
  <c r="M21" i="8"/>
  <c r="L21" i="8"/>
  <c r="K21" i="8"/>
  <c r="J21" i="8"/>
  <c r="I21" i="8"/>
  <c r="H21" i="8"/>
  <c r="N20" i="8"/>
  <c r="M20" i="8"/>
  <c r="L20" i="8"/>
  <c r="K20" i="8"/>
  <c r="J20" i="8"/>
  <c r="I20" i="8"/>
  <c r="H20" i="8"/>
  <c r="N19" i="8"/>
  <c r="M19" i="8"/>
  <c r="L19" i="8"/>
  <c r="K19" i="8"/>
  <c r="J19" i="8"/>
  <c r="I19" i="8"/>
  <c r="H19" i="8"/>
  <c r="N18" i="8"/>
  <c r="M18" i="8"/>
  <c r="L18" i="8"/>
  <c r="K18" i="8"/>
  <c r="J18" i="8"/>
  <c r="I18" i="8"/>
  <c r="H18" i="8"/>
  <c r="N17" i="8"/>
  <c r="M17" i="8"/>
  <c r="L17" i="8"/>
  <c r="K17" i="8"/>
  <c r="J17" i="8"/>
  <c r="I17" i="8"/>
  <c r="H17" i="8"/>
  <c r="N16" i="8"/>
  <c r="M16" i="8"/>
  <c r="L16" i="8"/>
  <c r="K16" i="8"/>
  <c r="J16" i="8"/>
  <c r="I16" i="8"/>
  <c r="H16" i="8"/>
  <c r="N15" i="8"/>
  <c r="M15" i="8"/>
  <c r="L15" i="8"/>
  <c r="K15" i="8"/>
  <c r="J15" i="8"/>
  <c r="I15" i="8"/>
  <c r="H15" i="8"/>
  <c r="N14" i="8"/>
  <c r="M14" i="8"/>
  <c r="L14" i="8"/>
  <c r="K14" i="8"/>
  <c r="J14" i="8"/>
  <c r="I14" i="8"/>
  <c r="H14" i="8"/>
  <c r="N13" i="8"/>
  <c r="M13" i="8"/>
  <c r="L13" i="8"/>
  <c r="K13" i="8"/>
  <c r="J13" i="8"/>
  <c r="I13" i="8"/>
  <c r="H13" i="8"/>
  <c r="N12" i="8"/>
  <c r="M12" i="8"/>
  <c r="L12" i="8"/>
  <c r="K12" i="8"/>
  <c r="J12" i="8"/>
  <c r="I12" i="8"/>
  <c r="H12" i="8"/>
  <c r="N11" i="8"/>
  <c r="M11" i="8"/>
  <c r="L11" i="8"/>
  <c r="K11" i="8"/>
  <c r="J11" i="8"/>
  <c r="I11" i="8"/>
  <c r="H11" i="8"/>
  <c r="N10" i="8"/>
  <c r="M10" i="8"/>
  <c r="L10" i="8"/>
  <c r="K10" i="8"/>
  <c r="J10" i="8"/>
  <c r="I10" i="8"/>
  <c r="H10" i="8"/>
  <c r="N9" i="8"/>
  <c r="M9" i="8"/>
  <c r="L9" i="8"/>
  <c r="K9" i="8"/>
  <c r="J9" i="8"/>
  <c r="I9" i="8"/>
  <c r="H9" i="8"/>
  <c r="N8" i="8"/>
  <c r="M8" i="8"/>
  <c r="L8" i="8"/>
  <c r="K8" i="8"/>
  <c r="J8" i="8"/>
  <c r="I8" i="8"/>
  <c r="H8" i="8"/>
  <c r="N7" i="8"/>
  <c r="M7" i="8"/>
  <c r="L7" i="8"/>
  <c r="K7" i="8"/>
  <c r="J7" i="8"/>
  <c r="I7" i="8"/>
  <c r="H7" i="8"/>
  <c r="N41" i="7"/>
  <c r="M41" i="7"/>
  <c r="L41" i="7"/>
  <c r="K41" i="7"/>
  <c r="J41" i="7"/>
  <c r="I41" i="7"/>
  <c r="H41" i="7"/>
  <c r="N40" i="7"/>
  <c r="M40" i="7"/>
  <c r="L40" i="7"/>
  <c r="K40" i="7"/>
  <c r="J40" i="7"/>
  <c r="I40" i="7"/>
  <c r="H40" i="7"/>
  <c r="N39" i="7"/>
  <c r="M39" i="7"/>
  <c r="L39" i="7"/>
  <c r="K39" i="7"/>
  <c r="J39" i="7"/>
  <c r="I39" i="7"/>
  <c r="H39" i="7"/>
  <c r="N38" i="7"/>
  <c r="M38" i="7"/>
  <c r="L38" i="7"/>
  <c r="K38" i="7"/>
  <c r="J38" i="7"/>
  <c r="I38" i="7"/>
  <c r="H38" i="7"/>
  <c r="N37" i="7"/>
  <c r="M37" i="7"/>
  <c r="L37" i="7"/>
  <c r="K37" i="7"/>
  <c r="J37" i="7"/>
  <c r="I37" i="7"/>
  <c r="H37" i="7"/>
  <c r="N36" i="7"/>
  <c r="M36" i="7"/>
  <c r="L36" i="7"/>
  <c r="K36" i="7"/>
  <c r="J36" i="7"/>
  <c r="I36" i="7"/>
  <c r="H36" i="7"/>
  <c r="N35" i="7"/>
  <c r="M35" i="7"/>
  <c r="L35" i="7"/>
  <c r="K35" i="7"/>
  <c r="J35" i="7"/>
  <c r="I35" i="7"/>
  <c r="H35" i="7"/>
  <c r="N34" i="7"/>
  <c r="M34" i="7"/>
  <c r="L34" i="7"/>
  <c r="K34" i="7"/>
  <c r="J34" i="7"/>
  <c r="I34" i="7"/>
  <c r="H34" i="7"/>
  <c r="N33" i="7"/>
  <c r="M33" i="7"/>
  <c r="L33" i="7"/>
  <c r="K33" i="7"/>
  <c r="J33" i="7"/>
  <c r="I33" i="7"/>
  <c r="H33" i="7"/>
  <c r="N32" i="7"/>
  <c r="M32" i="7"/>
  <c r="L32" i="7"/>
  <c r="K32" i="7"/>
  <c r="J32" i="7"/>
  <c r="I32" i="7"/>
  <c r="H32" i="7"/>
  <c r="N31" i="7"/>
  <c r="M31" i="7"/>
  <c r="L31" i="7"/>
  <c r="K31" i="7"/>
  <c r="J31" i="7"/>
  <c r="I31" i="7"/>
  <c r="H31" i="7"/>
  <c r="N30" i="7"/>
  <c r="M30" i="7"/>
  <c r="L30" i="7"/>
  <c r="K30" i="7"/>
  <c r="J30" i="7"/>
  <c r="I30" i="7"/>
  <c r="H30" i="7"/>
  <c r="N29" i="7"/>
  <c r="M29" i="7"/>
  <c r="L29" i="7"/>
  <c r="K29" i="7"/>
  <c r="J29" i="7"/>
  <c r="I29" i="7"/>
  <c r="H29" i="7"/>
  <c r="N28" i="7"/>
  <c r="M28" i="7"/>
  <c r="L28" i="7"/>
  <c r="K28" i="7"/>
  <c r="J28" i="7"/>
  <c r="I28" i="7"/>
  <c r="H28" i="7"/>
  <c r="N27" i="7"/>
  <c r="M27" i="7"/>
  <c r="L27" i="7"/>
  <c r="K27" i="7"/>
  <c r="J27" i="7"/>
  <c r="I27" i="7"/>
  <c r="H27" i="7"/>
  <c r="N26" i="7"/>
  <c r="M26" i="7"/>
  <c r="L26" i="7"/>
  <c r="K26" i="7"/>
  <c r="J26" i="7"/>
  <c r="I26" i="7"/>
  <c r="H26" i="7"/>
  <c r="N25" i="7"/>
  <c r="M25" i="7"/>
  <c r="L25" i="7"/>
  <c r="K25" i="7"/>
  <c r="J25" i="7"/>
  <c r="I25" i="7"/>
  <c r="H25" i="7"/>
  <c r="N24" i="7"/>
  <c r="M24" i="7"/>
  <c r="L24" i="7"/>
  <c r="K24" i="7"/>
  <c r="J24" i="7"/>
  <c r="I24" i="7"/>
  <c r="H24" i="7"/>
  <c r="N23" i="7"/>
  <c r="M23" i="7"/>
  <c r="L23" i="7"/>
  <c r="K23" i="7"/>
  <c r="J23" i="7"/>
  <c r="I23" i="7"/>
  <c r="H23" i="7"/>
  <c r="N22" i="7"/>
  <c r="M22" i="7"/>
  <c r="L22" i="7"/>
  <c r="K22" i="7"/>
  <c r="J22" i="7"/>
  <c r="I22" i="7"/>
  <c r="H22" i="7"/>
  <c r="N21" i="7"/>
  <c r="M21" i="7"/>
  <c r="L21" i="7"/>
  <c r="K21" i="7"/>
  <c r="J21" i="7"/>
  <c r="I21" i="7"/>
  <c r="H21" i="7"/>
  <c r="N20" i="7"/>
  <c r="M20" i="7"/>
  <c r="L20" i="7"/>
  <c r="K20" i="7"/>
  <c r="J20" i="7"/>
  <c r="I20" i="7"/>
  <c r="H20" i="7"/>
  <c r="N19" i="7"/>
  <c r="M19" i="7"/>
  <c r="L19" i="7"/>
  <c r="K19" i="7"/>
  <c r="J19" i="7"/>
  <c r="I19" i="7"/>
  <c r="H19" i="7"/>
  <c r="N18" i="7"/>
  <c r="M18" i="7"/>
  <c r="L18" i="7"/>
  <c r="K18" i="7"/>
  <c r="J18" i="7"/>
  <c r="I18" i="7"/>
  <c r="H18" i="7"/>
  <c r="N17" i="7"/>
  <c r="M17" i="7"/>
  <c r="L17" i="7"/>
  <c r="K17" i="7"/>
  <c r="J17" i="7"/>
  <c r="I17" i="7"/>
  <c r="H17" i="7"/>
  <c r="N16" i="7"/>
  <c r="M16" i="7"/>
  <c r="L16" i="7"/>
  <c r="K16" i="7"/>
  <c r="J16" i="7"/>
  <c r="I16" i="7"/>
  <c r="H16" i="7"/>
  <c r="N15" i="7"/>
  <c r="M15" i="7"/>
  <c r="L15" i="7"/>
  <c r="K15" i="7"/>
  <c r="J15" i="7"/>
  <c r="I15" i="7"/>
  <c r="H15" i="7"/>
  <c r="N14" i="7"/>
  <c r="M14" i="7"/>
  <c r="L14" i="7"/>
  <c r="K14" i="7"/>
  <c r="J14" i="7"/>
  <c r="I14" i="7"/>
  <c r="H14" i="7"/>
  <c r="N13" i="7"/>
  <c r="M13" i="7"/>
  <c r="L13" i="7"/>
  <c r="K13" i="7"/>
  <c r="J13" i="7"/>
  <c r="I13" i="7"/>
  <c r="H13" i="7"/>
  <c r="N12" i="7"/>
  <c r="M12" i="7"/>
  <c r="L12" i="7"/>
  <c r="K12" i="7"/>
  <c r="J12" i="7"/>
  <c r="I12" i="7"/>
  <c r="H12" i="7"/>
  <c r="N11" i="7"/>
  <c r="M11" i="7"/>
  <c r="L11" i="7"/>
  <c r="K11" i="7"/>
  <c r="J11" i="7"/>
  <c r="I11" i="7"/>
  <c r="H11" i="7"/>
  <c r="N10" i="7"/>
  <c r="M10" i="7"/>
  <c r="L10" i="7"/>
  <c r="K10" i="7"/>
  <c r="J10" i="7"/>
  <c r="I10" i="7"/>
  <c r="H10" i="7"/>
  <c r="N9" i="7"/>
  <c r="M9" i="7"/>
  <c r="L9" i="7"/>
  <c r="K9" i="7"/>
  <c r="J9" i="7"/>
  <c r="I9" i="7"/>
  <c r="H9" i="7"/>
  <c r="N8" i="7"/>
  <c r="M8" i="7"/>
  <c r="L8" i="7"/>
  <c r="K8" i="7"/>
  <c r="J8" i="7"/>
  <c r="I8" i="7"/>
  <c r="H8" i="7"/>
  <c r="N7" i="7"/>
  <c r="M7" i="7"/>
  <c r="L7" i="7"/>
  <c r="K7" i="7"/>
  <c r="J7" i="7"/>
  <c r="I7" i="7"/>
  <c r="H7" i="7"/>
  <c r="P8" i="1"/>
  <c r="Q8" i="1"/>
  <c r="R8" i="1"/>
  <c r="S8" i="1"/>
  <c r="T8" i="1"/>
  <c r="O8" i="1"/>
  <c r="M41" i="6"/>
  <c r="L41" i="6"/>
  <c r="K41" i="6"/>
  <c r="J41" i="6"/>
  <c r="I41" i="6"/>
  <c r="M40" i="6"/>
  <c r="L40" i="6"/>
  <c r="K40" i="6"/>
  <c r="J40" i="6"/>
  <c r="I40" i="6"/>
  <c r="M39" i="6"/>
  <c r="L39" i="6"/>
  <c r="K39" i="6"/>
  <c r="J39" i="6"/>
  <c r="I39" i="6"/>
  <c r="M38" i="6"/>
  <c r="L38" i="6"/>
  <c r="K38" i="6"/>
  <c r="J38" i="6"/>
  <c r="I38" i="6"/>
  <c r="M37" i="6"/>
  <c r="L37" i="6"/>
  <c r="K37" i="6"/>
  <c r="J37" i="6"/>
  <c r="I37" i="6"/>
  <c r="M36" i="6"/>
  <c r="L36" i="6"/>
  <c r="K36" i="6"/>
  <c r="J36" i="6"/>
  <c r="I36" i="6"/>
  <c r="M35" i="6"/>
  <c r="L35" i="6"/>
  <c r="K35" i="6"/>
  <c r="J35" i="6"/>
  <c r="I35" i="6"/>
  <c r="M34" i="6"/>
  <c r="L34" i="6"/>
  <c r="K34" i="6"/>
  <c r="J34" i="6"/>
  <c r="I34" i="6"/>
  <c r="M33" i="6"/>
  <c r="L33" i="6"/>
  <c r="K33" i="6"/>
  <c r="J33" i="6"/>
  <c r="I33" i="6"/>
  <c r="M32" i="6"/>
  <c r="L32" i="6"/>
  <c r="K32" i="6"/>
  <c r="J32" i="6"/>
  <c r="I32" i="6"/>
  <c r="M31" i="6"/>
  <c r="L31" i="6"/>
  <c r="K31" i="6"/>
  <c r="J31" i="6"/>
  <c r="I31" i="6"/>
  <c r="M30" i="6"/>
  <c r="L30" i="6"/>
  <c r="K30" i="6"/>
  <c r="J30" i="6"/>
  <c r="I30" i="6"/>
  <c r="M29" i="6"/>
  <c r="L29" i="6"/>
  <c r="K29" i="6"/>
  <c r="J29" i="6"/>
  <c r="I29" i="6"/>
  <c r="M28" i="6"/>
  <c r="L28" i="6"/>
  <c r="K28" i="6"/>
  <c r="J28" i="6"/>
  <c r="I28" i="6"/>
  <c r="M27" i="6"/>
  <c r="L27" i="6"/>
  <c r="L42" i="6" s="1"/>
  <c r="K27" i="6"/>
  <c r="J27" i="6"/>
  <c r="I27" i="6"/>
  <c r="M26" i="6"/>
  <c r="L26" i="6"/>
  <c r="K26" i="6"/>
  <c r="J26" i="6"/>
  <c r="I26" i="6"/>
  <c r="M25" i="6"/>
  <c r="L25" i="6"/>
  <c r="K25" i="6"/>
  <c r="J25" i="6"/>
  <c r="I25" i="6"/>
  <c r="M24" i="6"/>
  <c r="L24" i="6"/>
  <c r="K24" i="6"/>
  <c r="J24" i="6"/>
  <c r="I24" i="6"/>
  <c r="M23" i="6"/>
  <c r="L23" i="6"/>
  <c r="K23" i="6"/>
  <c r="J23" i="6"/>
  <c r="I23" i="6"/>
  <c r="M22" i="6"/>
  <c r="L22" i="6"/>
  <c r="K22" i="6"/>
  <c r="J22" i="6"/>
  <c r="I22" i="6"/>
  <c r="M21" i="6"/>
  <c r="L21" i="6"/>
  <c r="K21" i="6"/>
  <c r="J21" i="6"/>
  <c r="I21" i="6"/>
  <c r="M20" i="6"/>
  <c r="L20" i="6"/>
  <c r="K20" i="6"/>
  <c r="J20" i="6"/>
  <c r="I20" i="6"/>
  <c r="M19" i="6"/>
  <c r="L19" i="6"/>
  <c r="K19" i="6"/>
  <c r="J19" i="6"/>
  <c r="I19" i="6"/>
  <c r="M18" i="6"/>
  <c r="L18" i="6"/>
  <c r="K18" i="6"/>
  <c r="J18" i="6"/>
  <c r="I18" i="6"/>
  <c r="M17" i="6"/>
  <c r="L17" i="6"/>
  <c r="K17" i="6"/>
  <c r="J17" i="6"/>
  <c r="I17" i="6"/>
  <c r="M16" i="6"/>
  <c r="L16" i="6"/>
  <c r="K16" i="6"/>
  <c r="J16" i="6"/>
  <c r="I16" i="6"/>
  <c r="M15" i="6"/>
  <c r="L15" i="6"/>
  <c r="K15" i="6"/>
  <c r="J15" i="6"/>
  <c r="I15" i="6"/>
  <c r="M14" i="6"/>
  <c r="L14" i="6"/>
  <c r="K14" i="6"/>
  <c r="J14" i="6"/>
  <c r="I14" i="6"/>
  <c r="M13" i="6"/>
  <c r="L13" i="6"/>
  <c r="K13" i="6"/>
  <c r="J13" i="6"/>
  <c r="I13" i="6"/>
  <c r="M12" i="6"/>
  <c r="L12" i="6"/>
  <c r="K12" i="6"/>
  <c r="J12" i="6"/>
  <c r="I12" i="6"/>
  <c r="M11" i="6"/>
  <c r="L11" i="6"/>
  <c r="K11" i="6"/>
  <c r="J11" i="6"/>
  <c r="I11" i="6"/>
  <c r="M10" i="6"/>
  <c r="L10" i="6"/>
  <c r="K10" i="6"/>
  <c r="J10" i="6"/>
  <c r="I10" i="6"/>
  <c r="M9" i="6"/>
  <c r="L9" i="6"/>
  <c r="K9" i="6"/>
  <c r="J9" i="6"/>
  <c r="I9" i="6"/>
  <c r="M8" i="6"/>
  <c r="L8" i="6"/>
  <c r="K8" i="6"/>
  <c r="J8" i="6"/>
  <c r="I8" i="6"/>
  <c r="M7" i="6"/>
  <c r="L7" i="6"/>
  <c r="K7" i="6"/>
  <c r="J7" i="6"/>
  <c r="I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P32" i="6" s="1"/>
  <c r="H33" i="6"/>
  <c r="H34" i="6"/>
  <c r="H35" i="6"/>
  <c r="H36" i="6"/>
  <c r="H37" i="6"/>
  <c r="H38" i="6"/>
  <c r="H39" i="6"/>
  <c r="H40" i="6"/>
  <c r="P40" i="6" s="1"/>
  <c r="H41" i="6"/>
  <c r="H7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7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F42" i="3"/>
  <c r="G42" i="3"/>
  <c r="E42" i="3"/>
  <c r="H8" i="3"/>
  <c r="I8" i="3"/>
  <c r="J8" i="3"/>
  <c r="K8" i="3"/>
  <c r="L8" i="3"/>
  <c r="M8" i="3"/>
  <c r="H9" i="3"/>
  <c r="I9" i="3"/>
  <c r="J9" i="3"/>
  <c r="K9" i="3"/>
  <c r="L9" i="3"/>
  <c r="M9" i="3"/>
  <c r="H10" i="3"/>
  <c r="I10" i="3"/>
  <c r="J10" i="3"/>
  <c r="K10" i="3"/>
  <c r="L10" i="3"/>
  <c r="M10" i="3"/>
  <c r="H11" i="3"/>
  <c r="I11" i="3"/>
  <c r="J11" i="3"/>
  <c r="K11" i="3"/>
  <c r="L11" i="3"/>
  <c r="M11" i="3"/>
  <c r="H12" i="3"/>
  <c r="I12" i="3"/>
  <c r="J12" i="3"/>
  <c r="K12" i="3"/>
  <c r="L12" i="3"/>
  <c r="M12" i="3"/>
  <c r="H13" i="3"/>
  <c r="I13" i="3"/>
  <c r="J13" i="3"/>
  <c r="K13" i="3"/>
  <c r="L13" i="3"/>
  <c r="M13" i="3"/>
  <c r="H14" i="3"/>
  <c r="I14" i="3"/>
  <c r="J14" i="3"/>
  <c r="K14" i="3"/>
  <c r="L14" i="3"/>
  <c r="M14" i="3"/>
  <c r="H15" i="3"/>
  <c r="I15" i="3"/>
  <c r="J15" i="3"/>
  <c r="K15" i="3"/>
  <c r="L15" i="3"/>
  <c r="M15" i="3"/>
  <c r="H16" i="3"/>
  <c r="I16" i="3"/>
  <c r="J16" i="3"/>
  <c r="K16" i="3"/>
  <c r="L16" i="3"/>
  <c r="M16" i="3"/>
  <c r="H17" i="3"/>
  <c r="I17" i="3"/>
  <c r="J17" i="3"/>
  <c r="K17" i="3"/>
  <c r="L17" i="3"/>
  <c r="M17" i="3"/>
  <c r="H18" i="3"/>
  <c r="I18" i="3"/>
  <c r="J18" i="3"/>
  <c r="K18" i="3"/>
  <c r="L18" i="3"/>
  <c r="M18" i="3"/>
  <c r="H19" i="3"/>
  <c r="I19" i="3"/>
  <c r="J19" i="3"/>
  <c r="K19" i="3"/>
  <c r="L19" i="3"/>
  <c r="M19" i="3"/>
  <c r="H20" i="3"/>
  <c r="I20" i="3"/>
  <c r="J20" i="3"/>
  <c r="K20" i="3"/>
  <c r="L20" i="3"/>
  <c r="M20" i="3"/>
  <c r="H21" i="3"/>
  <c r="I21" i="3"/>
  <c r="J21" i="3"/>
  <c r="K21" i="3"/>
  <c r="L21" i="3"/>
  <c r="M21" i="3"/>
  <c r="H22" i="3"/>
  <c r="I22" i="3"/>
  <c r="J22" i="3"/>
  <c r="K22" i="3"/>
  <c r="L22" i="3"/>
  <c r="M22" i="3"/>
  <c r="H23" i="3"/>
  <c r="I23" i="3"/>
  <c r="J23" i="3"/>
  <c r="K23" i="3"/>
  <c r="L23" i="3"/>
  <c r="M23" i="3"/>
  <c r="H24" i="3"/>
  <c r="I24" i="3"/>
  <c r="J24" i="3"/>
  <c r="K24" i="3"/>
  <c r="L24" i="3"/>
  <c r="M24" i="3"/>
  <c r="H25" i="3"/>
  <c r="I25" i="3"/>
  <c r="J25" i="3"/>
  <c r="K25" i="3"/>
  <c r="L25" i="3"/>
  <c r="M25" i="3"/>
  <c r="H26" i="3"/>
  <c r="I26" i="3"/>
  <c r="J26" i="3"/>
  <c r="K26" i="3"/>
  <c r="L26" i="3"/>
  <c r="M26" i="3"/>
  <c r="H27" i="3"/>
  <c r="I27" i="3"/>
  <c r="J27" i="3"/>
  <c r="K27" i="3"/>
  <c r="L27" i="3"/>
  <c r="M27" i="3"/>
  <c r="H28" i="3"/>
  <c r="I28" i="3"/>
  <c r="J28" i="3"/>
  <c r="K28" i="3"/>
  <c r="L28" i="3"/>
  <c r="M28" i="3"/>
  <c r="H29" i="3"/>
  <c r="I29" i="3"/>
  <c r="J29" i="3"/>
  <c r="K29" i="3"/>
  <c r="L29" i="3"/>
  <c r="M29" i="3"/>
  <c r="H30" i="3"/>
  <c r="I30" i="3"/>
  <c r="J30" i="3"/>
  <c r="K30" i="3"/>
  <c r="L30" i="3"/>
  <c r="M30" i="3"/>
  <c r="H31" i="3"/>
  <c r="I31" i="3"/>
  <c r="J31" i="3"/>
  <c r="K31" i="3"/>
  <c r="L31" i="3"/>
  <c r="M31" i="3"/>
  <c r="H32" i="3"/>
  <c r="I32" i="3"/>
  <c r="J32" i="3"/>
  <c r="K32" i="3"/>
  <c r="L32" i="3"/>
  <c r="M32" i="3"/>
  <c r="H33" i="3"/>
  <c r="I33" i="3"/>
  <c r="J33" i="3"/>
  <c r="K33" i="3"/>
  <c r="L33" i="3"/>
  <c r="M33" i="3"/>
  <c r="H34" i="3"/>
  <c r="I34" i="3"/>
  <c r="J34" i="3"/>
  <c r="K34" i="3"/>
  <c r="L34" i="3"/>
  <c r="M34" i="3"/>
  <c r="H35" i="3"/>
  <c r="I35" i="3"/>
  <c r="J35" i="3"/>
  <c r="K35" i="3"/>
  <c r="L35" i="3"/>
  <c r="M35" i="3"/>
  <c r="H36" i="3"/>
  <c r="I36" i="3"/>
  <c r="J36" i="3"/>
  <c r="K36" i="3"/>
  <c r="L36" i="3"/>
  <c r="M36" i="3"/>
  <c r="H37" i="3"/>
  <c r="I37" i="3"/>
  <c r="J37" i="3"/>
  <c r="K37" i="3"/>
  <c r="L37" i="3"/>
  <c r="M37" i="3"/>
  <c r="H38" i="3"/>
  <c r="I38" i="3"/>
  <c r="J38" i="3"/>
  <c r="K38" i="3"/>
  <c r="L38" i="3"/>
  <c r="M38" i="3"/>
  <c r="H39" i="3"/>
  <c r="I39" i="3"/>
  <c r="J39" i="3"/>
  <c r="K39" i="3"/>
  <c r="L39" i="3"/>
  <c r="M39" i="3"/>
  <c r="H40" i="3"/>
  <c r="I40" i="3"/>
  <c r="J40" i="3"/>
  <c r="K40" i="3"/>
  <c r="L40" i="3"/>
  <c r="M40" i="3"/>
  <c r="H41" i="3"/>
  <c r="I41" i="3"/>
  <c r="J41" i="3"/>
  <c r="K41" i="3"/>
  <c r="L41" i="3"/>
  <c r="M41" i="3"/>
  <c r="M7" i="3"/>
  <c r="M42" i="3" s="1"/>
  <c r="L7" i="3"/>
  <c r="K7" i="3"/>
  <c r="I7" i="3"/>
  <c r="H7" i="3"/>
  <c r="J7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F42" i="2"/>
  <c r="G42" i="2"/>
  <c r="E42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U39" i="1" l="1"/>
  <c r="U31" i="1"/>
  <c r="U40" i="1"/>
  <c r="U27" i="1"/>
  <c r="U34" i="1"/>
  <c r="U36" i="1"/>
  <c r="U38" i="1"/>
  <c r="U12" i="1"/>
  <c r="U18" i="1"/>
  <c r="U37" i="1"/>
  <c r="U20" i="1"/>
  <c r="U35" i="1"/>
  <c r="U41" i="1"/>
  <c r="U13" i="1"/>
  <c r="U30" i="1"/>
  <c r="U14" i="1"/>
  <c r="U21" i="1"/>
  <c r="U24" i="1"/>
  <c r="U29" i="1"/>
  <c r="U22" i="1"/>
  <c r="U8" i="1"/>
  <c r="U16" i="1"/>
  <c r="U32" i="1"/>
  <c r="O33" i="1"/>
  <c r="P33" i="1"/>
  <c r="U28" i="1"/>
  <c r="U26" i="1"/>
  <c r="U15" i="1"/>
  <c r="U10" i="1"/>
  <c r="U25" i="1"/>
  <c r="M42" i="6"/>
  <c r="P37" i="6"/>
  <c r="P29" i="6"/>
  <c r="P13" i="6"/>
  <c r="P35" i="6"/>
  <c r="P27" i="6"/>
  <c r="P19" i="6"/>
  <c r="P11" i="6"/>
  <c r="I42" i="6"/>
  <c r="P26" i="6"/>
  <c r="J42" i="6"/>
  <c r="P34" i="6"/>
  <c r="K42" i="6"/>
  <c r="P18" i="6"/>
  <c r="P41" i="6"/>
  <c r="P33" i="6"/>
  <c r="P25" i="6"/>
  <c r="P17" i="6"/>
  <c r="P9" i="6"/>
  <c r="H42" i="6"/>
  <c r="P24" i="6"/>
  <c r="P16" i="6"/>
  <c r="P8" i="6"/>
  <c r="P10" i="6"/>
  <c r="P39" i="6"/>
  <c r="P31" i="6"/>
  <c r="P23" i="6"/>
  <c r="P15" i="6"/>
  <c r="P21" i="6"/>
  <c r="P36" i="6"/>
  <c r="P28" i="6"/>
  <c r="P20" i="6"/>
  <c r="P12" i="6"/>
  <c r="P14" i="6"/>
  <c r="P22" i="6"/>
  <c r="P30" i="6"/>
  <c r="P38" i="6"/>
  <c r="P7" i="6"/>
  <c r="K42" i="3"/>
  <c r="H42" i="3"/>
  <c r="L42" i="3"/>
  <c r="J42" i="3"/>
  <c r="I42" i="3"/>
  <c r="T43" i="1"/>
  <c r="Q43" i="1"/>
  <c r="S43" i="1"/>
  <c r="M42" i="2"/>
  <c r="L42" i="2"/>
  <c r="H42" i="2"/>
  <c r="K42" i="2"/>
  <c r="J42" i="2"/>
  <c r="I42" i="2"/>
  <c r="U33" i="1" l="1"/>
  <c r="L24" i="1" l="1"/>
  <c r="M23" i="1"/>
  <c r="N23" i="1"/>
  <c r="P23" i="1" s="1"/>
  <c r="L23" i="1"/>
  <c r="M9" i="1"/>
  <c r="N9" i="1"/>
  <c r="P9" i="1" s="1"/>
  <c r="L9" i="1"/>
  <c r="M18" i="1"/>
  <c r="N18" i="1"/>
  <c r="L18" i="1"/>
  <c r="M20" i="1"/>
  <c r="N20" i="1"/>
  <c r="L20" i="1"/>
  <c r="M21" i="1"/>
  <c r="N21" i="1"/>
  <c r="L21" i="1"/>
  <c r="M16" i="1"/>
  <c r="N16" i="1"/>
  <c r="L16" i="1"/>
  <c r="M15" i="1"/>
  <c r="N15" i="1"/>
  <c r="L15" i="1"/>
  <c r="M14" i="1"/>
  <c r="N14" i="1"/>
  <c r="L14" i="1"/>
  <c r="M12" i="1"/>
  <c r="N12" i="1"/>
  <c r="L12" i="1"/>
  <c r="M10" i="1"/>
  <c r="N10" i="1"/>
  <c r="L10" i="1"/>
  <c r="M8" i="1"/>
  <c r="N8" i="1"/>
  <c r="L8" i="1"/>
  <c r="L22" i="1"/>
  <c r="P43" i="1" l="1"/>
  <c r="O9" i="1"/>
  <c r="U9" i="1" s="1"/>
  <c r="O23" i="1"/>
  <c r="R43" i="1"/>
  <c r="U23" i="1" l="1"/>
  <c r="O43" i="1"/>
  <c r="U43" i="1" l="1"/>
</calcChain>
</file>

<file path=xl/sharedStrings.xml><?xml version="1.0" encoding="utf-8"?>
<sst xmlns="http://schemas.openxmlformats.org/spreadsheetml/2006/main" count="12028" uniqueCount="548">
  <si>
    <t>CUPS</t>
  </si>
  <si>
    <t>Tarifa de acceso</t>
  </si>
  <si>
    <t>Pot. Contractada P1</t>
  </si>
  <si>
    <t>Pot. Contractada P2</t>
  </si>
  <si>
    <t>Pot. Contractada P3</t>
  </si>
  <si>
    <t>Pot. Contractada P4</t>
  </si>
  <si>
    <t>Pot. Contractada P5</t>
  </si>
  <si>
    <t>Pot. Contractada P6</t>
  </si>
  <si>
    <t>Sucursal</t>
  </si>
  <si>
    <t>3.0 TD</t>
  </si>
  <si>
    <t>ES0031446383676001EZ0F</t>
  </si>
  <si>
    <t>ES0031406114262002TQ0F</t>
  </si>
  <si>
    <t>SANTA EUGENIA 94, LOC 17005 GIRONA</t>
  </si>
  <si>
    <t>ES0031406157485002TJ0F</t>
  </si>
  <si>
    <t>SANTA EUGENIA 96, LOC2 17005 GIRONA</t>
  </si>
  <si>
    <t>ES0031405489736001JF0F</t>
  </si>
  <si>
    <t>ES0031405499934001XZ0F</t>
  </si>
  <si>
    <t>ES0031405876712001GH0F</t>
  </si>
  <si>
    <t>SANT JOSEP 58, LOC 08242 MANRESA</t>
  </si>
  <si>
    <t>SANT JOSEP 66, BJO, MUTUA 08242 MANRESA</t>
  </si>
  <si>
    <t>ES0031405505097001PC0F</t>
  </si>
  <si>
    <t>ES0031405014638001QN0F</t>
  </si>
  <si>
    <t>ANGEL GUIMERA 8 08100 MOLLET DEL VALLÈS</t>
  </si>
  <si>
    <t>ES0031405250733001RN0F</t>
  </si>
  <si>
    <t>PS DE LA CARRERADA 2 08184 ESTANY, L'</t>
  </si>
  <si>
    <t>2.0 TD</t>
  </si>
  <si>
    <t>ES0031408205952001DA0F</t>
  </si>
  <si>
    <t>JULIA FABREGAS 23 08500 VIC</t>
  </si>
  <si>
    <t>ES0031446473158001WP0F</t>
  </si>
  <si>
    <t>BARCELONA 92, BJO 08901 HOSPITALET DE LLOBREGAT</t>
  </si>
  <si>
    <r>
      <rPr>
        <b/>
        <sz val="11"/>
        <color rgb="FF000000"/>
        <rFont val="Calibri"/>
        <family val="2"/>
      </rPr>
      <t>CONSUMO ACTIVA</t>
    </r>
  </si>
  <si>
    <t>CONSUMO ANUAL: 153294kWh</t>
  </si>
  <si>
    <t>P1 + P4</t>
  </si>
  <si>
    <t>P2 + P5</t>
  </si>
  <si>
    <t>P3 + P6</t>
  </si>
  <si>
    <t>Consumo anual por periodos en kWh</t>
  </si>
  <si>
    <t>Consumo anual por periodos en %</t>
  </si>
  <si>
    <t>Fecha inicial</t>
  </si>
  <si>
    <t>Fecha final</t>
  </si>
  <si>
    <t>Días</t>
  </si>
  <si>
    <t>Tipo</t>
  </si>
  <si>
    <t>30-09-2020</t>
  </si>
  <si>
    <t>REAL</t>
  </si>
  <si>
    <t>31-10-2020</t>
  </si>
  <si>
    <t>30-11-2020</t>
  </si>
  <si>
    <t>31-12-2020</t>
  </si>
  <si>
    <t>31-01-2021</t>
  </si>
  <si>
    <t>28-02-2021</t>
  </si>
  <si>
    <t>31-03-2021</t>
  </si>
  <si>
    <t>28-04-2021</t>
  </si>
  <si>
    <t>30-04-2021</t>
  </si>
  <si>
    <t>31-05-2021</t>
  </si>
  <si>
    <t>30-06-2021</t>
  </si>
  <si>
    <t>31-07-2021</t>
  </si>
  <si>
    <t>31-08-2021</t>
  </si>
  <si>
    <t>30-09-2021</t>
  </si>
  <si>
    <t>04-10-2021</t>
  </si>
  <si>
    <t>31-10-2021</t>
  </si>
  <si>
    <t>30-11-2021</t>
  </si>
  <si>
    <t>02-12-2021</t>
  </si>
  <si>
    <t>31-12-2021</t>
  </si>
  <si>
    <t>31-01-2022</t>
  </si>
  <si>
    <t>28-02-2022</t>
  </si>
  <si>
    <t>31-03-2022</t>
  </si>
  <si>
    <t>08-04-2022</t>
  </si>
  <si>
    <t>30-04-2022</t>
  </si>
  <si>
    <t>31-05-2022</t>
  </si>
  <si>
    <t>30-06-2022</t>
  </si>
  <si>
    <t>31-07-2022</t>
  </si>
  <si>
    <t>31-08-2022</t>
  </si>
  <si>
    <t>30-09-2022</t>
  </si>
  <si>
    <t>31-10-2022</t>
  </si>
  <si>
    <t>30-11-2022</t>
  </si>
  <si>
    <t>31-12-2022</t>
  </si>
  <si>
    <t>31-01-2023</t>
  </si>
  <si>
    <t>28-02-2023</t>
  </si>
  <si>
    <t>31-03-2023</t>
  </si>
  <si>
    <r>
      <rPr>
        <b/>
        <sz val="11"/>
        <color rgb="FF000000"/>
        <rFont val="Calibri"/>
        <family val="2"/>
      </rPr>
      <t>CONSUMO REACTIVA</t>
    </r>
  </si>
  <si>
    <t>31-08-2020</t>
  </si>
  <si>
    <r>
      <rPr>
        <b/>
        <sz val="11"/>
        <color rgb="FF000000"/>
        <rFont val="Calibri"/>
        <family val="2"/>
      </rPr>
      <t>MAXÍMETRO</t>
    </r>
  </si>
  <si>
    <t>POTENCIAS CONTRATADAS</t>
  </si>
  <si>
    <t>P1</t>
  </si>
  <si>
    <t>P2</t>
  </si>
  <si>
    <t>P3</t>
  </si>
  <si>
    <t>Potencias Contratadas (kW)</t>
  </si>
  <si>
    <r>
      <rPr>
        <b/>
        <sz val="11"/>
        <color rgb="FF000000"/>
        <rFont val="Calibri"/>
        <family val="2"/>
      </rPr>
      <t>OPTIMIZACIÓN POTENCIA</t>
    </r>
  </si>
  <si>
    <r>
      <rPr>
        <b/>
        <sz val="11"/>
        <color rgb="FF000000"/>
        <rFont val="Calibri"/>
        <family val="2"/>
      </rPr>
      <t>COMPENSACIÓN REACTIVA</t>
    </r>
  </si>
  <si>
    <t>CONSUMO ANUAL: 150191kWh</t>
  </si>
  <si>
    <t>31-07-2020</t>
  </si>
  <si>
    <t>30-06-2020</t>
  </si>
  <si>
    <t>CONSUMO ANUAL: 72355kWh</t>
  </si>
  <si>
    <t>31-05-2020</t>
  </si>
  <si>
    <t>CONSUMO ANUAL: 27227kWh</t>
  </si>
  <si>
    <t>05-01-2021</t>
  </si>
  <si>
    <t>CONSUMO ANUAL: 20777kWh</t>
  </si>
  <si>
    <t>10-01-2023</t>
  </si>
  <si>
    <t>02-08-2020</t>
  </si>
  <si>
    <t>CONSUMO ANUAL: 5992kWh</t>
  </si>
  <si>
    <t>12-03-2023</t>
  </si>
  <si>
    <t>16-04-2023</t>
  </si>
  <si>
    <t>13-02-2023</t>
  </si>
  <si>
    <t>15-01-2023</t>
  </si>
  <si>
    <t>12-12-2022</t>
  </si>
  <si>
    <t>14-11-2022</t>
  </si>
  <si>
    <t>15-10-2022</t>
  </si>
  <si>
    <t>13-09-2022</t>
  </si>
  <si>
    <t>10-08-2022</t>
  </si>
  <si>
    <t>13-07-2022</t>
  </si>
  <si>
    <t>14-06-2022</t>
  </si>
  <si>
    <t>11-05-2022</t>
  </si>
  <si>
    <t>12-04-2022</t>
  </si>
  <si>
    <t>12-03-2022</t>
  </si>
  <si>
    <t>12-02-2022</t>
  </si>
  <si>
    <t>13-01-2022</t>
  </si>
  <si>
    <t>02-01-2022</t>
  </si>
  <si>
    <t>03-12-2021</t>
  </si>
  <si>
    <t>23-11-2021</t>
  </si>
  <si>
    <t>25-10-2021</t>
  </si>
  <si>
    <t>22-09-2021</t>
  </si>
  <si>
    <t>23-08-2021</t>
  </si>
  <si>
    <t>25-07-2021</t>
  </si>
  <si>
    <t>24-06-2021</t>
  </si>
  <si>
    <t>25-05-2021</t>
  </si>
  <si>
    <t>27-04-2021</t>
  </si>
  <si>
    <t>23-03-2021</t>
  </si>
  <si>
    <t>23-02-2021</t>
  </si>
  <si>
    <t>27-01-2021</t>
  </si>
  <si>
    <t>27-12-2020</t>
  </si>
  <si>
    <t>24-11-2020</t>
  </si>
  <si>
    <t>26-10-2020</t>
  </si>
  <si>
    <t>24-09-2020</t>
  </si>
  <si>
    <t>24-08-2020</t>
  </si>
  <si>
    <t>22-07-2020</t>
  </si>
  <si>
    <t>CONSUMO ANUAL: 35030kWh</t>
  </si>
  <si>
    <t>CONSUMO ANUAL: 29588kWh</t>
  </si>
  <si>
    <t>04-02-2022</t>
  </si>
  <si>
    <t>05-04-2021</t>
  </si>
  <si>
    <t>25-08-2020</t>
  </si>
  <si>
    <t>15-07-2020</t>
  </si>
  <si>
    <t>30-04-2020</t>
  </si>
  <si>
    <t>CONSUMO ANUAL: 39028kWh</t>
  </si>
  <si>
    <t>21-07-2022</t>
  </si>
  <si>
    <t>CONSUMO ANUAL: 14029kWh</t>
  </si>
  <si>
    <t>07-09-2020</t>
  </si>
  <si>
    <t>10-08-2020</t>
  </si>
  <si>
    <t>07-07-2020</t>
  </si>
  <si>
    <t>08-06-2020</t>
  </si>
  <si>
    <t>CONSUMO ANUAL: 57984kWh</t>
  </si>
  <si>
    <t>CONSUMO ANUAL: 10832kWh</t>
  </si>
  <si>
    <t>CONSUMO ANUAL: 27310kWh</t>
  </si>
  <si>
    <t>05-02-2021</t>
  </si>
  <si>
    <t>CONSUMO ANUAL: 10816kWh</t>
  </si>
  <si>
    <t>01-09-2020</t>
  </si>
  <si>
    <t>03-08-2020</t>
  </si>
  <si>
    <t>01-07-2020</t>
  </si>
  <si>
    <t>27-05-2020</t>
  </si>
  <si>
    <t>NA</t>
  </si>
  <si>
    <t>PLAZA BAGES 13, BJO 08242 MANRESA</t>
  </si>
  <si>
    <t>PS 22 DE JULIOL, 338 08221 TERRASSA</t>
  </si>
  <si>
    <t>ES0031406169188001CZ0F</t>
  </si>
  <si>
    <t>CALLE TECLA SALA, 9 08901 HOSPITALET DE LLOBREGAT</t>
  </si>
  <si>
    <t>Dirección del suministro</t>
  </si>
  <si>
    <t>Consumo anual P1 + P4</t>
  </si>
  <si>
    <t>Consumo anual P2 + P5</t>
  </si>
  <si>
    <t>Consumo anual P3 + P6</t>
  </si>
  <si>
    <t>LEON</t>
  </si>
  <si>
    <t>MADRID</t>
  </si>
  <si>
    <t>MURCIA</t>
  </si>
  <si>
    <t>VALENCIA</t>
  </si>
  <si>
    <t>VIGO</t>
  </si>
  <si>
    <t>CORUÑA (A)</t>
  </si>
  <si>
    <t>GIJÓN</t>
  </si>
  <si>
    <t>MALAGA</t>
  </si>
  <si>
    <t>GRANADA</t>
  </si>
  <si>
    <t>CORDOBA</t>
  </si>
  <si>
    <t>GRANOLLERS</t>
  </si>
  <si>
    <t>PASEO SAN FRANCISCO DE SALES, 25    BJO B  28003, MADRID, MADRID</t>
  </si>
  <si>
    <t>CALLE EDUARDO BOSCA, 32    BJO 1  46023, VALENCIA, VALENCIA</t>
  </si>
  <si>
    <t>CALLE DOCTOR CADAVAL, 21    BJO 4  36202, VIGO, PONTEVEDRA</t>
  </si>
  <si>
    <t>PLAZA ALFONSO XIII, 1    BJO IZQ  15008, CORUÑA (A), A CORUÑA</t>
  </si>
  <si>
    <t>CALLE MARE DE DEU DE MONTSERRAT, 65    LOC 3  08401, GRANOLLERS, BARCELONA</t>
  </si>
  <si>
    <t>ES0021000003588633CD0F</t>
  </si>
  <si>
    <t>ES0021000004762452LT0F</t>
  </si>
  <si>
    <t>ES0021000006230192PH0F</t>
  </si>
  <si>
    <t>ES0021000008614443XC0F</t>
  </si>
  <si>
    <t>ES0022000004494536ZR1P</t>
  </si>
  <si>
    <t>ES0022000008467189PW1P</t>
  </si>
  <si>
    <t>ES0026000000878334SA0F</t>
  </si>
  <si>
    <t>ES0031102849382034VC0F</t>
  </si>
  <si>
    <t>ES0031103123644021XW0F</t>
  </si>
  <si>
    <t>ES0031104000529001TT0F</t>
  </si>
  <si>
    <t>ES0031405008835009EN0F</t>
  </si>
  <si>
    <t>CAMINO DE LA GEGANTA, 79  81  LOC 4  08302, MATARO, BARCELONA</t>
  </si>
  <si>
    <t>ES0031405219269014LW0F</t>
  </si>
  <si>
    <t>LLEIDA</t>
  </si>
  <si>
    <t>TARRAGONA</t>
  </si>
  <si>
    <t>ES0031405580069001DR0F</t>
  </si>
  <si>
    <t>ES0031405652653021YT0F</t>
  </si>
  <si>
    <t>CALLE DE PERE MARTELL, 13    BJO   43001, TARRAGONA, TARRAGONA</t>
  </si>
  <si>
    <t>ES0031408120149012KD0F</t>
  </si>
  <si>
    <t>ES0031408290656034XG0F</t>
  </si>
  <si>
    <t>IGUALADA</t>
  </si>
  <si>
    <t>CALLE CARLES RIBA, 1    BJO LOCAL4  08700, IGUALADA, BARCELONA</t>
  </si>
  <si>
    <t>TRAMUNTANA 4, EDIFICIO TRAMONTANA, LOC 17600 FIGUERES</t>
  </si>
  <si>
    <t>EIVISSA</t>
  </si>
  <si>
    <t>BANYOLES</t>
  </si>
  <si>
    <t>VALLADOLID</t>
  </si>
  <si>
    <t>PALMA DE MALLORCA</t>
  </si>
  <si>
    <t>Avda ZAMORA 19, PISO BAJO PUERTA 1, 47008, VALLADOLID, 0</t>
  </si>
  <si>
    <t>ES0031500044643003KX0F</t>
  </si>
  <si>
    <t>ES0021000013661307LV</t>
  </si>
  <si>
    <t>ES0031500104013001NQ0F</t>
  </si>
  <si>
    <t>TERRASSA</t>
  </si>
  <si>
    <t>FIGUERES</t>
  </si>
  <si>
    <t>GIRONA</t>
  </si>
  <si>
    <t>HOSPITALET DE LLOBREGAT</t>
  </si>
  <si>
    <t>MANRESA</t>
  </si>
  <si>
    <t>MOLLET DEL VALLÈS</t>
  </si>
  <si>
    <t>PALAU SOLITÀ I PLEGAMANS</t>
  </si>
  <si>
    <t>VIC</t>
  </si>
  <si>
    <t>MATARÓ</t>
  </si>
  <si>
    <t>TÀRREGA</t>
  </si>
  <si>
    <t>8.5</t>
  </si>
  <si>
    <t>2.9</t>
  </si>
  <si>
    <t>9.03</t>
  </si>
  <si>
    <t>6.6</t>
  </si>
  <si>
    <t>CONSUMO ANUAL: 2493kWh</t>
  </si>
  <si>
    <t>11-04-2023</t>
  </si>
  <si>
    <t>26-04-2023</t>
  </si>
  <si>
    <t>27-03-2023</t>
  </si>
  <si>
    <t>26-02-2023</t>
  </si>
  <si>
    <t>26-01-2023</t>
  </si>
  <si>
    <t>28-12-2022</t>
  </si>
  <si>
    <t>28-11-2022</t>
  </si>
  <si>
    <t>27-10-2022</t>
  </si>
  <si>
    <t>26-09-2022</t>
  </si>
  <si>
    <t>24-08-2022</t>
  </si>
  <si>
    <t>26-07-2022</t>
  </si>
  <si>
    <t>26-06-2022</t>
  </si>
  <si>
    <t>23-05-2022</t>
  </si>
  <si>
    <t>27-04-2022</t>
  </si>
  <si>
    <t>26-03-2022</t>
  </si>
  <si>
    <t>22-02-2022</t>
  </si>
  <si>
    <t>25-01-2022</t>
  </si>
  <si>
    <t>27-12-2021</t>
  </si>
  <si>
    <t>24-11-2021</t>
  </si>
  <si>
    <t>26-10-2021</t>
  </si>
  <si>
    <t>25-09-2021</t>
  </si>
  <si>
    <t>24-08-2021</t>
  </si>
  <si>
    <t>26-07-2021</t>
  </si>
  <si>
    <t>03-05-2021</t>
  </si>
  <si>
    <t>25-03-2021</t>
  </si>
  <si>
    <t>24-02-2021</t>
  </si>
  <si>
    <t>26-01-2021</t>
  </si>
  <si>
    <t>25-11-2020</t>
  </si>
  <si>
    <t>26-08-2020</t>
  </si>
  <si>
    <t>26-07-2020</t>
  </si>
  <si>
    <t>24-06-2020</t>
  </si>
  <si>
    <t>CONSUMO ANUAL: 18936kWh</t>
  </si>
  <si>
    <t>09-12-2021</t>
  </si>
  <si>
    <t>CONSUMO ANUAL: 8130kWh</t>
  </si>
  <si>
    <t>15-03-2023</t>
  </si>
  <si>
    <t>04-01-2021</t>
  </si>
  <si>
    <t>01-12-2020</t>
  </si>
  <si>
    <t>Mes</t>
  </si>
  <si>
    <t>P1/P1+P4</t>
  </si>
  <si>
    <t>P2/P2+P5</t>
  </si>
  <si>
    <t>P3/P3+P6</t>
  </si>
  <si>
    <t>P4/(P1+P4)</t>
  </si>
  <si>
    <t>P5/(P2+P5)</t>
  </si>
  <si>
    <t>P6/(P3+P6)</t>
  </si>
  <si>
    <t>P4</t>
  </si>
  <si>
    <t>P5</t>
  </si>
  <si>
    <t>P6</t>
  </si>
  <si>
    <t>año</t>
  </si>
  <si>
    <t>p1</t>
  </si>
  <si>
    <t>Total anual</t>
  </si>
  <si>
    <t>Consumo anual P1</t>
  </si>
  <si>
    <t>Consumo anual P2</t>
  </si>
  <si>
    <t>Consumo anual P3</t>
  </si>
  <si>
    <t>Consumo anual P4</t>
  </si>
  <si>
    <t>Consumo anual P5</t>
  </si>
  <si>
    <t>Consumo anual P6</t>
  </si>
  <si>
    <t>CONSUMO ANUAL: 1kWh</t>
  </si>
  <si>
    <t>03-12-2020</t>
  </si>
  <si>
    <t>23-06-2020</t>
  </si>
  <si>
    <t>26-05-2020</t>
  </si>
  <si>
    <t>CONSUMO ANUAL: 234kWh</t>
  </si>
  <si>
    <t>03-04-2023</t>
  </si>
  <si>
    <t>02-05-2023</t>
  </si>
  <si>
    <t>01-01-2023</t>
  </si>
  <si>
    <t>01-11-2022</t>
  </si>
  <si>
    <t>13-10-2022</t>
  </si>
  <si>
    <t>02-10-2022</t>
  </si>
  <si>
    <t>05-09-2022</t>
  </si>
  <si>
    <t>29-07-2022</t>
  </si>
  <si>
    <t>01-05-2022</t>
  </si>
  <si>
    <t>18-12-2021</t>
  </si>
  <si>
    <t>01-11-2021</t>
  </si>
  <si>
    <t>30-08-2021</t>
  </si>
  <si>
    <t>01-08-2021</t>
  </si>
  <si>
    <t>27-06-2021</t>
  </si>
  <si>
    <t>02-05-2021</t>
  </si>
  <si>
    <t>04-04-2021</t>
  </si>
  <si>
    <t>12-03-2021</t>
  </si>
  <si>
    <t>01-03-2021</t>
  </si>
  <si>
    <t>08-01-2021</t>
  </si>
  <si>
    <t>01-10-2020</t>
  </si>
  <si>
    <t>CONSUMO ANUAL: 5349kWh</t>
  </si>
  <si>
    <t>25-05-2022</t>
  </si>
  <si>
    <t>AÑO</t>
  </si>
  <si>
    <t>CONSUMO ANUAL: 6283kWh</t>
  </si>
  <si>
    <t>05-03-2023</t>
  </si>
  <si>
    <t>04-04-2023</t>
  </si>
  <si>
    <t>05-02-2023</t>
  </si>
  <si>
    <t>04-01-2023</t>
  </si>
  <si>
    <t>04-12-2022</t>
  </si>
  <si>
    <t>03-11-2022</t>
  </si>
  <si>
    <t>04-10-2022</t>
  </si>
  <si>
    <t>04-09-2022</t>
  </si>
  <si>
    <t>04-08-2022</t>
  </si>
  <si>
    <t>04-07-2022</t>
  </si>
  <si>
    <t>05-06-2022</t>
  </si>
  <si>
    <t>04-05-2022</t>
  </si>
  <si>
    <t>03-04-2022</t>
  </si>
  <si>
    <t>03-03-2022</t>
  </si>
  <si>
    <t>09-02-2022</t>
  </si>
  <si>
    <t>04-01-2022</t>
  </si>
  <si>
    <t>07-12-2021</t>
  </si>
  <si>
    <t>04-11-2021</t>
  </si>
  <si>
    <t>05-09-2021</t>
  </si>
  <si>
    <t>03-08-2021</t>
  </si>
  <si>
    <t>04-07-2021</t>
  </si>
  <si>
    <t>04-05-2021</t>
  </si>
  <si>
    <t>03-04-2021</t>
  </si>
  <si>
    <t>04-03-2021</t>
  </si>
  <si>
    <t>04-02-2021</t>
  </si>
  <si>
    <t>04-11-2020</t>
  </si>
  <si>
    <t>03-10-2020</t>
  </si>
  <si>
    <t>03-09-2020</t>
  </si>
  <si>
    <t>04-08-2020</t>
  </si>
  <si>
    <t>05-07-2020</t>
  </si>
  <si>
    <t>04-06-2020</t>
  </si>
  <si>
    <t>04-05-2020</t>
  </si>
  <si>
    <t>05-04-2020</t>
  </si>
  <si>
    <t>04-03-2020</t>
  </si>
  <si>
    <t>CONSUMO ANUAL: 8519kWh</t>
  </si>
  <si>
    <t>02-08-2022</t>
  </si>
  <si>
    <t>14-02-2022</t>
  </si>
  <si>
    <t>31-03-2020</t>
  </si>
  <si>
    <t>29-02-2020</t>
  </si>
  <si>
    <t>CONSUMO ANUAL: 9351kWh</t>
  </si>
  <si>
    <t>10-05-2021</t>
  </si>
  <si>
    <t>10-04-2021</t>
  </si>
  <si>
    <t>10-03-2021</t>
  </si>
  <si>
    <t>10-02-2021</t>
  </si>
  <si>
    <t>10-01-2021</t>
  </si>
  <si>
    <t>10-12-2020</t>
  </si>
  <si>
    <t>10-11-2020</t>
  </si>
  <si>
    <t>10-10-2020</t>
  </si>
  <si>
    <t>10-09-2020</t>
  </si>
  <si>
    <t>19-08-2020</t>
  </si>
  <si>
    <t>10-07-2020</t>
  </si>
  <si>
    <t>10-06-2020</t>
  </si>
  <si>
    <t>10-05-2020</t>
  </si>
  <si>
    <t>p2</t>
  </si>
  <si>
    <t>CONSUMO ANUAL: 4119kWh</t>
  </si>
  <si>
    <t>02-03-2021</t>
  </si>
  <si>
    <t>01-06-2020</t>
  </si>
  <si>
    <t>CONSUMO ANUAL: 860kWh</t>
  </si>
  <si>
    <t>04-03-2023</t>
  </si>
  <si>
    <t>08-04-2023</t>
  </si>
  <si>
    <t>04-02-2023</t>
  </si>
  <si>
    <t>08-01-2023</t>
  </si>
  <si>
    <t>08-12-2022</t>
  </si>
  <si>
    <t>05-11-2022</t>
  </si>
  <si>
    <t>05-10-2022</t>
  </si>
  <si>
    <t>03-08-2022</t>
  </si>
  <si>
    <t>06-07-2022</t>
  </si>
  <si>
    <t>29-04-2022</t>
  </si>
  <si>
    <t>07-04-2022</t>
  </si>
  <si>
    <t>CONSUMO ANUAL: 17661kWh</t>
  </si>
  <si>
    <t>28-07-2022</t>
  </si>
  <si>
    <t>06-01-2021</t>
  </si>
  <si>
    <t>05-11-2020</t>
  </si>
  <si>
    <t>02-10-2020</t>
  </si>
  <si>
    <t>02-09-2020</t>
  </si>
  <si>
    <t>23-07-2020</t>
  </si>
  <si>
    <t>13-06-2020</t>
  </si>
  <si>
    <t>CONSUMO ANUAL: 4603kWh</t>
  </si>
  <si>
    <t>11-03-2023</t>
  </si>
  <si>
    <t>11-02-2023</t>
  </si>
  <si>
    <t>14-01-2023</t>
  </si>
  <si>
    <t>13-12-2022</t>
  </si>
  <si>
    <t>09-11-2022</t>
  </si>
  <si>
    <t>11-10-2022</t>
  </si>
  <si>
    <t>12-09-2022</t>
  </si>
  <si>
    <t>09-08-2022</t>
  </si>
  <si>
    <t>12-07-2022</t>
  </si>
  <si>
    <t>10-05-2022</t>
  </si>
  <si>
    <t>11-03-2022</t>
  </si>
  <si>
    <t>24-10-2021</t>
  </si>
  <si>
    <t>21-09-2021</t>
  </si>
  <si>
    <t>23-07-2021</t>
  </si>
  <si>
    <t>23-06-2021</t>
  </si>
  <si>
    <t>23-11-2020</t>
  </si>
  <si>
    <t>23-09-2020</t>
  </si>
  <si>
    <t>CONSUMO ANUAL: 7851kWh</t>
  </si>
  <si>
    <t>15-04-2023</t>
  </si>
  <si>
    <t>10-02-2023</t>
  </si>
  <si>
    <t>08-11-2022</t>
  </si>
  <si>
    <t>11-08-2022</t>
  </si>
  <si>
    <t>09-06-2022</t>
  </si>
  <si>
    <t>08-05-2022</t>
  </si>
  <si>
    <t>11-04-2022</t>
  </si>
  <si>
    <t>09-03-2022</t>
  </si>
  <si>
    <t>11-02-2022</t>
  </si>
  <si>
    <t>18-11-2021</t>
  </si>
  <si>
    <t>22-10-2021</t>
  </si>
  <si>
    <t>23-09-2021</t>
  </si>
  <si>
    <t>20-08-2021</t>
  </si>
  <si>
    <t>19-06-2021</t>
  </si>
  <si>
    <t>22-02-2021</t>
  </si>
  <si>
    <t>23-01-2021</t>
  </si>
  <si>
    <t>26-12-2020</t>
  </si>
  <si>
    <t>20-11-2020</t>
  </si>
  <si>
    <t>22-10-2020</t>
  </si>
  <si>
    <t>22-09-2020</t>
  </si>
  <si>
    <t>CONSUMO ANUAL: 4658kWh</t>
  </si>
  <si>
    <t>16-08-2022</t>
  </si>
  <si>
    <t>18-02-2022</t>
  </si>
  <si>
    <t>24-01-2022</t>
  </si>
  <si>
    <t>22-12-2021</t>
  </si>
  <si>
    <t>10-08-2021</t>
  </si>
  <si>
    <t>18-04-2021</t>
  </si>
  <si>
    <t>01-02-2021</t>
  </si>
  <si>
    <t>CONSUMO ANUAL: 152kWh</t>
  </si>
  <si>
    <t>21-12-2022</t>
  </si>
  <si>
    <t>20-11-2022</t>
  </si>
  <si>
    <t>16-05-2022</t>
  </si>
  <si>
    <t>19-09-2021</t>
  </si>
  <si>
    <t>17-08-2021</t>
  </si>
  <si>
    <t>20-07-2021</t>
  </si>
  <si>
    <t>21-05-2021</t>
  </si>
  <si>
    <t>18-05-2021</t>
  </si>
  <si>
    <t>17-03-2021</t>
  </si>
  <si>
    <t>16-02-2021</t>
  </si>
  <si>
    <t>22-01-2021</t>
  </si>
  <si>
    <t>22-12-2020</t>
  </si>
  <si>
    <t>19-11-2020</t>
  </si>
  <si>
    <t>20-10-2020</t>
  </si>
  <si>
    <t>CONSUMO ANUAL: 7307kWh</t>
  </si>
  <si>
    <t>12-02-2023</t>
  </si>
  <si>
    <t>14-12-2022</t>
  </si>
  <si>
    <t>13-11-2022</t>
  </si>
  <si>
    <t>14-10-2022</t>
  </si>
  <si>
    <t>01-01-2022</t>
  </si>
  <si>
    <t>25-10-2020</t>
  </si>
  <si>
    <t>CONSUMO ANUAL: 3423kWh</t>
  </si>
  <si>
    <t>22-02-2023</t>
  </si>
  <si>
    <t>25-03-2023</t>
  </si>
  <si>
    <t>24-01-2023</t>
  </si>
  <si>
    <t>27-12-2022</t>
  </si>
  <si>
    <t>23-11-2022</t>
  </si>
  <si>
    <t>24-10-2022</t>
  </si>
  <si>
    <t>24-09-2022</t>
  </si>
  <si>
    <t>25-07-2022</t>
  </si>
  <si>
    <t>22-06-2022</t>
  </si>
  <si>
    <t>28-04-2022</t>
  </si>
  <si>
    <t>23-03-2022</t>
  </si>
  <si>
    <t>23-02-2022</t>
  </si>
  <si>
    <t>24-12-2021</t>
  </si>
  <si>
    <t>24-07-2021</t>
  </si>
  <si>
    <t>24-03-2021</t>
  </si>
  <si>
    <t>25-02-2021</t>
  </si>
  <si>
    <t>28-12-2020</t>
  </si>
  <si>
    <t>CONSUMO ANUAL: 6526kWh</t>
  </si>
  <si>
    <t>30-04-2023</t>
  </si>
  <si>
    <t>07-04-2021</t>
  </si>
  <si>
    <t>CONSUMO ANUAL: 6936kWh</t>
  </si>
  <si>
    <t>13-03-2023</t>
  </si>
  <si>
    <t>12-04-2023</t>
  </si>
  <si>
    <t>12-01-2023</t>
  </si>
  <si>
    <t>13-06-2022</t>
  </si>
  <si>
    <t>12-05-2022</t>
  </si>
  <si>
    <t>13-03-2022</t>
  </si>
  <si>
    <t>10-02-2022</t>
  </si>
  <si>
    <t>13-12-2021</t>
  </si>
  <si>
    <t>11-11-2021</t>
  </si>
  <si>
    <t>13-10-2021</t>
  </si>
  <si>
    <t>13-09-2021</t>
  </si>
  <si>
    <t>13-07-2021</t>
  </si>
  <si>
    <t>13-06-2021</t>
  </si>
  <si>
    <t>12-05-2021</t>
  </si>
  <si>
    <t>15-04-2021</t>
  </si>
  <si>
    <t>11-03-2021</t>
  </si>
  <si>
    <t>07-02-2021</t>
  </si>
  <si>
    <t>11-01-2021</t>
  </si>
  <si>
    <t>11-11-2020</t>
  </si>
  <si>
    <t>13-10-2020</t>
  </si>
  <si>
    <t>13-09-2020</t>
  </si>
  <si>
    <t>12-08-2020</t>
  </si>
  <si>
    <t>13-07-2020</t>
  </si>
  <si>
    <t>11-06-2020</t>
  </si>
  <si>
    <t>CONSUMO ANUAL: 11677kWh</t>
  </si>
  <si>
    <t>17-02-2023</t>
  </si>
  <si>
    <t>18-03-2023</t>
  </si>
  <si>
    <t>18-01-2023</t>
  </si>
  <si>
    <t>20-12-2022</t>
  </si>
  <si>
    <t>19-11-2022</t>
  </si>
  <si>
    <t>18-10-2022</t>
  </si>
  <si>
    <t>18-09-2022</t>
  </si>
  <si>
    <t>18-07-2022</t>
  </si>
  <si>
    <t>18-06-2022</t>
  </si>
  <si>
    <t>17-05-2022</t>
  </si>
  <si>
    <t>23-04-2022</t>
  </si>
  <si>
    <t>18-03-2022</t>
  </si>
  <si>
    <t>15-02-2022</t>
  </si>
  <si>
    <t>18-01-2022</t>
  </si>
  <si>
    <t>22-06-2021</t>
  </si>
  <si>
    <t>CONSUMO ANUAL: 11700kWh</t>
  </si>
  <si>
    <t>20-01-2023</t>
  </si>
  <si>
    <t>02-11-2020</t>
  </si>
  <si>
    <t>ES0031405760435011KB0F</t>
  </si>
  <si>
    <t>BERGA</t>
  </si>
  <si>
    <t>PASSEIG DE LES ESTASELLES,29 08600 BERGA</t>
  </si>
  <si>
    <t>2.0TD</t>
  </si>
  <si>
    <t>2.3</t>
  </si>
  <si>
    <t xml:space="preserve">LLIBERTAT,196-198 BAJOS </t>
  </si>
  <si>
    <t>14.49</t>
  </si>
  <si>
    <t>ES0031405016875009XV0F</t>
  </si>
  <si>
    <t>RAMON CASAS 7 LOC-1 MOLLET DEL VALLES BARCELONA</t>
  </si>
  <si>
    <t>AVENIDA REYES LEONES, 33 24008 LEON</t>
  </si>
  <si>
    <t xml:space="preserve">AVENIDA MANUEL LLANEZA,25 BAJOS   33205 GIJON </t>
  </si>
  <si>
    <t xml:space="preserve">BULEVAR HERNAN RUIZ,19 LOCAL </t>
  </si>
  <si>
    <t>C/ ESCRITORA CARMEN CONDE 7; MALAGA</t>
  </si>
  <si>
    <t>AVDA MARDRID ESQUINA C/ CARDENAL PARRADO 1</t>
  </si>
  <si>
    <t>AVDA BLONDEL 11</t>
  </si>
  <si>
    <t>C/ CARME 34 PALAU MARQUESOS DE LA FLORESTA</t>
  </si>
  <si>
    <t>C. CANARIAS 35 BAJOS, EDIFICIO CETIS</t>
  </si>
  <si>
    <t>C/ MARQUES DE LA SENIA 35</t>
  </si>
  <si>
    <t>RONDA DE LEVANTE 51</t>
  </si>
  <si>
    <t>Codi</t>
  </si>
  <si>
    <t xml:space="preserve"> ES0122010000002371SV0F</t>
  </si>
  <si>
    <t>LUGO</t>
  </si>
  <si>
    <t>ES0033770552498001GX</t>
  </si>
  <si>
    <t xml:space="preserve">RDA MURALLA S/N PORTAL: 142 PUERTA: LC 27001 LUGO </t>
  </si>
  <si>
    <t>3.0TD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</si>
</sst>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>
    <font>
      <sz val="10"/>
      <name val="Arial"/>
    </font>
    <font>
      <sz val="10"/>
      <name val="Arial"/>
      <family val="2"/>
    </font>
    <font>
      <sz val="10"/>
      <name val="Arial MT"/>
      <family val="2"/>
    </font>
    <font>
      <sz val="10"/>
      <color rgb="FF000000"/>
      <name val="Times New Roman"/>
      <family val="1"/>
    </font>
    <font>
      <sz val="10"/>
      <color rgb="FF000000"/>
      <name val="Arial MT"/>
      <family val="2"/>
    </font>
    <font>
      <sz val="8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4" fillId="0" borderId="0" xfId="1" applyNumberFormat="1" applyFont="1" applyAlignment="1">
      <alignment horizontal="center" vertical="top" shrinkToFi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165" fontId="4" fillId="0" borderId="0" xfId="1" applyNumberFormat="1" applyFont="1" applyAlignment="1">
      <alignment horizontal="center" vertical="top" wrapText="1" shrinkToFit="1"/>
    </xf>
    <xf numFmtId="1" fontId="4" fillId="0" borderId="0" xfId="1" applyNumberFormat="1" applyFont="1" applyAlignment="1">
      <alignment horizontal="center" vertical="top" wrapText="1" shrinkToFit="1"/>
    </xf>
    <xf numFmtId="0" fontId="1" fillId="0" borderId="0" xfId="0" applyFont="1" applyAlignment="1">
      <alignment horizontal="left"/>
    </xf>
    <xf numFmtId="0" fontId="6" fillId="0" borderId="0" xfId="2"/>
    <xf numFmtId="14" fontId="6" fillId="0" borderId="0" xfId="2" applyNumberFormat="1"/>
    <xf numFmtId="164" fontId="4" fillId="0" borderId="0" xfId="0" applyNumberFormat="1" applyFont="1" applyAlignment="1">
      <alignment horizontal="center" vertical="top" wrapText="1" shrinkToFit="1"/>
    </xf>
    <xf numFmtId="3" fontId="4" fillId="0" borderId="0" xfId="0" applyNumberFormat="1" applyFont="1" applyAlignment="1">
      <alignment horizontal="center" vertical="top" shrinkToFit="1"/>
    </xf>
    <xf numFmtId="0" fontId="2" fillId="0" borderId="0" xfId="0" applyFont="1" applyAlignment="1">
      <alignment horizontal="center"/>
    </xf>
    <xf numFmtId="164" fontId="4" fillId="0" borderId="0" xfId="1" applyNumberFormat="1" applyFont="1" applyAlignment="1">
      <alignment horizontal="center" vertical="top" wrapText="1" shrinkToFit="1"/>
    </xf>
    <xf numFmtId="0" fontId="1" fillId="2" borderId="0" xfId="0" applyFont="1" applyFill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top"/>
    </xf>
    <xf numFmtId="0" fontId="9" fillId="3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0" xfId="0" applyFont="1" applyFill="1" applyAlignment="1">
      <alignment horizontal="left"/>
    </xf>
    <xf numFmtId="164" fontId="4" fillId="0" borderId="0" xfId="1" applyNumberFormat="1" applyFont="1" applyFill="1" applyAlignment="1">
      <alignment horizontal="center" vertical="top" wrapText="1" shrinkToFit="1"/>
    </xf>
    <xf numFmtId="3" fontId="4" fillId="0" borderId="0" xfId="1" applyNumberFormat="1" applyFont="1" applyFill="1" applyAlignment="1">
      <alignment horizontal="center" vertical="top" shrinkToFit="1"/>
    </xf>
    <xf numFmtId="0" fontId="1" fillId="0" borderId="0" xfId="0" applyFont="1" applyFill="1" applyAlignment="1">
      <alignment horizontal="center"/>
    </xf>
  </cellXfs>
  <cellStyles count="3">
    <cellStyle name="Normal" xfId="0" builtinId="0"/>
    <cellStyle name="Normal 2" xfId="2" xr:uid="{E846A6A4-637B-458B-B6E5-179B8035C825}"/>
    <cellStyle name="Normal 4" xfId="1" xr:uid="{9FF95381-E76D-4C69-9828-E2A7A4ED7E8F}"/>
  </cellStyles>
  <dxfs count="3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family val="2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3" formatCode="#,##0"/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64" formatCode="0.000"/>
      <alignment horizontal="center" vertical="top" textRotation="0" wrapText="1" indent="0" justifyLastLine="0" shrinkToFit="1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alignment horizontal="center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8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99060</xdr:rowOff>
    </xdr:from>
    <xdr:to>
      <xdr:col>2</xdr:col>
      <xdr:colOff>815943</xdr:colOff>
      <xdr:row>4</xdr:row>
      <xdr:rowOff>137159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F7D2F3-8D9F-F693-8277-FE0CC26D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99060"/>
          <a:ext cx="2511393" cy="7162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0AAD72-E6CE-4520-A87F-217460887348}" name="Tabla1" displayName="Tabla1" ref="B7:U43" totalsRowCount="1" headerRowDxfId="312" dataDxfId="311" dataCellStyle="Normal 4">
  <autoFilter ref="B7:U42" xr:uid="{7B0AAD72-E6CE-4520-A87F-217460887348}"/>
  <tableColumns count="20">
    <tableColumn id="1" xr3:uid="{713BADF7-2CF2-49F5-A4DB-AA72D6AAA202}" name="CUPS" dataDxfId="310" totalsRowDxfId="19"/>
    <tableColumn id="3" xr3:uid="{08577124-29AA-4E57-8579-3844D200B4FA}" name="Sucursal" dataDxfId="309" totalsRowDxfId="18"/>
    <tableColumn id="4" xr3:uid="{7C306942-9A65-4A5D-A98D-55F1DE686BD8}" name="Dirección del suministro" dataDxfId="308" totalsRowDxfId="17"/>
    <tableColumn id="6" xr3:uid="{53341F09-C27F-458D-853C-5403EE860948}" name="Tarifa de acceso" dataDxfId="307" totalsRowDxfId="16"/>
    <tableColumn id="7" xr3:uid="{70D8FBB8-42BD-44BD-A7BE-A67ECDAA8773}" name="Pot. Contractada P1" dataDxfId="306" totalsRowDxfId="15" dataCellStyle="Normal 4"/>
    <tableColumn id="8" xr3:uid="{4CEBABAD-F45C-4D6F-A8FD-5E86B7C56263}" name="Pot. Contractada P2" dataDxfId="305" totalsRowDxfId="14" dataCellStyle="Normal 4"/>
    <tableColumn id="9" xr3:uid="{F4BB40E8-C3BC-476D-8CAE-BDF10D16E378}" name="Pot. Contractada P3" dataDxfId="304" totalsRowDxfId="13" dataCellStyle="Normal 4"/>
    <tableColumn id="10" xr3:uid="{744A63E5-D198-49C3-8694-D3148D9A2D73}" name="Pot. Contractada P4" dataDxfId="303" totalsRowDxfId="12" dataCellStyle="Normal 4"/>
    <tableColumn id="11" xr3:uid="{23BACF2F-1677-4308-B1BB-BD988EA940AB}" name="Pot. Contractada P5" dataDxfId="302" totalsRowDxfId="11" dataCellStyle="Normal 4"/>
    <tableColumn id="12" xr3:uid="{1ECB85EA-B3D6-4E2C-848F-89F5705274A2}" name="Pot. Contractada P6" dataDxfId="301" totalsRowDxfId="10" dataCellStyle="Normal 4"/>
    <tableColumn id="13" xr3:uid="{F1CA0BD4-1B3E-402A-93F5-7AAD29C33CF1}" name="Consumo anual P1 + P4" dataDxfId="300" totalsRowDxfId="9" dataCellStyle="Normal 4"/>
    <tableColumn id="14" xr3:uid="{5DB8CE3A-6104-4A27-A0D8-5EA9E9977946}" name="Consumo anual P2 + P5" dataDxfId="299" totalsRowDxfId="8" dataCellStyle="Normal 4"/>
    <tableColumn id="15" xr3:uid="{FEC03ED7-F26A-48E8-A5A3-19060E786743}" name="Consumo anual P3 + P6" dataDxfId="298" totalsRowDxfId="7" dataCellStyle="Normal 4"/>
    <tableColumn id="16" xr3:uid="{C3623229-6A78-4B2A-BF85-3AAB88A0EBF1}" name="Consumo anual P1" totalsRowFunction="sum" dataDxfId="297" totalsRowDxfId="6" dataCellStyle="Normal 4"/>
    <tableColumn id="5" xr3:uid="{0E53B710-A8FA-4DAE-8673-A32436ECAA21}" name="Consumo anual P2" totalsRowFunction="sum" dataDxfId="296" totalsRowDxfId="5" dataCellStyle="Normal 4"/>
    <tableColumn id="2" xr3:uid="{781718F5-DE99-49AE-AC4A-82171586320A}" name="Consumo anual P3" totalsRowFunction="sum" dataDxfId="295" totalsRowDxfId="4" dataCellStyle="Normal 4"/>
    <tableColumn id="19" xr3:uid="{145F90F7-BD67-4CB0-9CD6-45BF9F1BE253}" name="Consumo anual P4" totalsRowFunction="sum" dataDxfId="294" totalsRowDxfId="3" dataCellStyle="Normal 4">
      <calculatedColumnFormula>SUM(Tabla1[[#This Row],[Consumo anual P1 + P4]:[Consumo anual P3 + P6]])</calculatedColumnFormula>
    </tableColumn>
    <tableColumn id="17" xr3:uid="{0B663BE7-ADCB-4559-B942-329F40267BF8}" name="Consumo anual P5" totalsRowFunction="sum" dataDxfId="293" totalsRowDxfId="2" dataCellStyle="Normal 4"/>
    <tableColumn id="18" xr3:uid="{EC885C91-BBC5-4DDB-B778-842F14D71D71}" name="Consumo anual P6" totalsRowFunction="sum" dataDxfId="292" totalsRowDxfId="1" dataCellStyle="Normal 4"/>
    <tableColumn id="20" xr3:uid="{EC033235-37F8-4AA8-8457-4C40CCF9A7C7}" name="Total anual" totalsRowFunction="sum" dataDxfId="291" totalsRowDxfId="0" dataCellStyle="Normal 4">
      <calculatedColumnFormula>SUM(Tabla1[[#This Row],[Consumo anual P1]:[Consumo anual P6]])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2AAE8A0-A4D6-4000-A4EE-E8EF5CD88435}" name="Tabla20" displayName="Tabla20" ref="C3:I15" totalsRowShown="0">
  <autoFilter ref="C3:I15" xr:uid="{B2AAE8A0-A4D6-4000-A4EE-E8EF5CD88435}"/>
  <tableColumns count="7">
    <tableColumn id="1" xr3:uid="{4F039A57-6011-40C2-9EF1-B7D0F72C9D59}" name="Mes"/>
    <tableColumn id="2" xr3:uid="{56F9A807-9E18-4EEF-B080-01EEEDF5939F}" name="P1/P1+P4"/>
    <tableColumn id="3" xr3:uid="{C63D7A36-2726-48E4-9556-7FB558746BA7}" name="P2/P2+P5"/>
    <tableColumn id="4" xr3:uid="{EB6781A4-6E3E-4070-B5A4-291587BE66EF}" name="P3/P3+P6"/>
    <tableColumn id="5" xr3:uid="{BF9B963A-4806-40EA-9679-8A88B1EEA39D}" name="P4/(P1+P4)"/>
    <tableColumn id="6" xr3:uid="{62BBF1B1-4B07-46F5-B948-A1ECD91BFB17}" name="P5/(P2+P5)"/>
    <tableColumn id="7" xr3:uid="{45F18EB8-7B79-44A4-8C8A-489C5A0E9832}" name="P6/(P3+P6)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2A97E021-F96E-4D7A-B402-B7FBEE358BCE}" name="Tabla27" displayName="Tabla27" ref="A6:N41" totalsRowShown="0" headerRowCellStyle="Normal 2" dataCellStyle="Normal 2">
  <autoFilter ref="A6:N41" xr:uid="{2A97E021-F96E-4D7A-B402-B7FBEE358BCE}"/>
  <sortState xmlns:xlrd2="http://schemas.microsoft.com/office/spreadsheetml/2017/richdata2" ref="A7:G41">
    <sortCondition ref="A6:A41"/>
  </sortState>
  <tableColumns count="14">
    <tableColumn id="1" xr3:uid="{F71E2557-27AA-4DD4-85BA-FEC7D727DF50}" name="Fecha inicial" dataCellStyle="Normal 2"/>
    <tableColumn id="2" xr3:uid="{96447EC1-9A93-498C-9B51-26DE703837A1}" name="Fecha final" dataCellStyle="Normal 2"/>
    <tableColumn id="3" xr3:uid="{FD6B7880-9DFC-4979-AC6C-E8940177ED7A}" name="Días" dataCellStyle="Normal 2"/>
    <tableColumn id="4" xr3:uid="{24B43A65-C6B5-4589-B8F6-DCA0BB6F2BEA}" name="Tipo" dataCellStyle="Normal 2"/>
    <tableColumn id="5" xr3:uid="{EC690EB6-8BAD-49F3-890F-837C7242F879}" name="P1 + P4" dataCellStyle="Normal 2"/>
    <tableColumn id="6" xr3:uid="{E2D94444-46DA-47B8-B78A-5FC83321CB67}" name="P2 + P5" dataCellStyle="Normal 2"/>
    <tableColumn id="7" xr3:uid="{77604DBB-B0C3-4D6D-B8B6-6CB35B6F8E7D}" name="P3 + P6" dataCellStyle="Normal 2"/>
    <tableColumn id="8" xr3:uid="{B5AA786A-3CF9-4EAE-9F9D-084C53666C2B}" name="P1" dataDxfId="290" dataCellStyle="Normal 2">
      <calculatedColumnFormula>Tabla6[[#This Row],[P1 + P4]]*VLOOKUP(MONTH(Tabla6[[#This Row],[Fecha final]]),Tabla20[#All],2,FALSE)</calculatedColumnFormula>
    </tableColumn>
    <tableColumn id="9" xr3:uid="{2E352648-84A8-4F21-A0F0-614D56C7673A}" name="P2" dataDxfId="289" dataCellStyle="Normal 2">
      <calculatedColumnFormula>Tabla6[[#This Row],[P2 + P5]]*VLOOKUP(MONTH(Tabla6[[#This Row],[Fecha final]]),Tabla20[#All],3,FALSE)</calculatedColumnFormula>
    </tableColumn>
    <tableColumn id="10" xr3:uid="{CED1623C-D301-4AFB-AF0F-A810BA0D0434}" name="P3" dataDxfId="288" dataCellStyle="Normal 2">
      <calculatedColumnFormula>(Tabla6[[#This Row],[P3 + P6]])*VLOOKUP(MONTH(Tabla6[[#This Row],[Fecha final]]),Tabla20[#All],4,FALSE)</calculatedColumnFormula>
    </tableColumn>
    <tableColumn id="11" xr3:uid="{078DA652-2CEB-4C64-9C8F-D182FD8C90B1}" name="P4" dataDxfId="287" dataCellStyle="Normal 2">
      <calculatedColumnFormula>Tabla6[[#This Row],[P1 + P4]]*VLOOKUP(MONTH(Tabla6[[#This Row],[Fecha final]]),Tabla20[#All],5,FALSE)</calculatedColumnFormula>
    </tableColumn>
    <tableColumn id="12" xr3:uid="{4D758044-97DB-4591-BD5B-6BE75E39C32A}" name="P5" dataDxfId="286" dataCellStyle="Normal 2">
      <calculatedColumnFormula>Tabla6[[#This Row],[P2 + P5]]*VLOOKUP(MONTH(Tabla6[[#This Row],[Fecha final]]),Tabla20[#All],6,FALSE)</calculatedColumnFormula>
    </tableColumn>
    <tableColumn id="13" xr3:uid="{B91EBE4C-7342-41E0-96AE-9BEB15E64E8F}" name="P6" dataDxfId="285" dataCellStyle="Normal 2">
      <calculatedColumnFormula>Tabla6[[#This Row],[P3 + P6]]*VLOOKUP(MONTH(Tabla6[[#This Row],[Fecha final]]),Tabla20[#All],7,FALSE)</calculatedColumnFormula>
    </tableColumn>
    <tableColumn id="14" xr3:uid="{AFF59BC4-BCBC-4BAB-94CD-87AC81E86D06}" name="AÑO" dataDxfId="284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040DB9-3506-4E29-AA9B-9F06A00DC9C1}" name="Tabla13" displayName="Tabla13" ref="A6:N42" totalsRowCount="1">
  <autoFilter ref="A6:N41" xr:uid="{B2999889-7754-4904-9AAA-915D375DC4ED}"/>
  <sortState xmlns:xlrd2="http://schemas.microsoft.com/office/spreadsheetml/2017/richdata2" ref="A7:G41">
    <sortCondition ref="A6:A41"/>
  </sortState>
  <tableColumns count="14">
    <tableColumn id="1" xr3:uid="{26F484C1-1E54-4274-A093-A4CF47DA094A}" name="Fecha inicial" totalsRowDxfId="283"/>
    <tableColumn id="2" xr3:uid="{6E345721-A156-44C8-8D00-23581FCDF4B0}" name="Fecha final" totalsRowDxfId="282"/>
    <tableColumn id="3" xr3:uid="{02A8C710-DB9D-4916-B9CC-C56320B30485}" name="Días" totalsRowDxfId="281"/>
    <tableColumn id="4" xr3:uid="{616E1DA9-9998-4580-A0F1-B247324383E7}" name="Tipo" totalsRowDxfId="280"/>
    <tableColumn id="5" xr3:uid="{87E48F68-786E-46CF-8F65-44F90D08F87B}" name="P1 + P4" totalsRowFunction="sum" totalsRowDxfId="279"/>
    <tableColumn id="6" xr3:uid="{5A765F5E-00B4-4847-9B5F-451B5880A0C2}" name="P2 + P5" totalsRowFunction="sum" totalsRowDxfId="278"/>
    <tableColumn id="7" xr3:uid="{DA49544E-C883-43FC-9B00-5219DB9B47FD}" name="P3 + P6" totalsRowFunction="sum" totalsRowDxfId="277"/>
    <tableColumn id="8" xr3:uid="{67B3C0DA-E34F-4D31-B6A2-2FC0E026153D}" name="P1" totalsRowFunction="sum" dataDxfId="276" totalsRowDxfId="275" dataCellStyle="Normal 2">
      <calculatedColumnFormula>Tabla13[[#This Row],[P1 + P4]]*VLOOKUP(MONTH(Tabla13[[#This Row],[Fecha final]]),Tabla20[#All],2,FALSE)</calculatedColumnFormula>
    </tableColumn>
    <tableColumn id="9" xr3:uid="{CEF2E25B-B405-4765-BCF5-41C950A108BA}" name="P2" totalsRowFunction="sum" dataDxfId="274" totalsRowDxfId="273" dataCellStyle="Normal 2">
      <calculatedColumnFormula>Tabla13[[#This Row],[P2 + P5]]*VLOOKUP(MONTH(Tabla13[[#This Row],[Fecha final]]),Tabla20[#All],3,FALSE)</calculatedColumnFormula>
    </tableColumn>
    <tableColumn id="10" xr3:uid="{4999213E-DE75-47F2-A1DD-E0164C60E385}" name="P3" totalsRowFunction="sum" dataDxfId="272" totalsRowDxfId="271" dataCellStyle="Normal 2">
      <calculatedColumnFormula>(Tabla13[[#This Row],[P3 + P6]])*VLOOKUP(MONTH(Tabla13[[#This Row],[Fecha final]]),Tabla20[#All],4,FALSE)</calculatedColumnFormula>
    </tableColumn>
    <tableColumn id="11" xr3:uid="{91B5B6CA-1C24-454D-98C7-3E6B32FC41E9}" name="P4" totalsRowFunction="sum" dataDxfId="270" totalsRowDxfId="269" dataCellStyle="Normal 2">
      <calculatedColumnFormula>Tabla13[[#This Row],[P1 + P4]]*VLOOKUP(MONTH(Tabla13[[#This Row],[Fecha final]]),Tabla20[#All],5,FALSE)</calculatedColumnFormula>
    </tableColumn>
    <tableColumn id="12" xr3:uid="{85B5A32C-F64B-4437-9DD8-FFEE23D6AF86}" name="P5" totalsRowFunction="sum" dataDxfId="268" totalsRowDxfId="267" dataCellStyle="Normal 2">
      <calculatedColumnFormula>Tabla13[[#This Row],[P2 + P5]]*VLOOKUP(MONTH(Tabla13[[#This Row],[Fecha final]]),Tabla20[#All],6,FALSE)</calculatedColumnFormula>
    </tableColumn>
    <tableColumn id="13" xr3:uid="{9DD854D3-1FB9-480D-B259-E6ED831C5E95}" name="P6" totalsRowFunction="sum" dataDxfId="266" totalsRowDxfId="265" dataCellStyle="Normal 2">
      <calculatedColumnFormula>Tabla13[[#This Row],[P3 + P6]]*VLOOKUP(MONTH(Tabla13[[#This Row],[Fecha final]]),Tabla20[#All],7,FALSE)</calculatedColumnFormula>
    </tableColumn>
    <tableColumn id="15" xr3:uid="{A6B4CF4C-24E1-4749-B615-3850E4CC3885}" name="año" dataDxfId="264" totalsRowDxfId="263" dataCellStyle="Normal 2">
      <calculatedColumnFormula>YEAR(Tabla13[[#This Row],[Fecha final]])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1790AA-ACF4-4D96-8088-BB74D1BAA42F}" name="Tabla3" displayName="Tabla3" ref="A6:N42" totalsRowCount="1" headerRowCellStyle="Normal 2" dataCellStyle="Normal 2">
  <autoFilter ref="A6:N41" xr:uid="{781790AA-ACF4-4D96-8088-BB74D1BAA42F}"/>
  <sortState xmlns:xlrd2="http://schemas.microsoft.com/office/spreadsheetml/2017/richdata2" ref="A7:G41">
    <sortCondition ref="A6:A41"/>
  </sortState>
  <tableColumns count="14">
    <tableColumn id="1" xr3:uid="{7EE15752-F651-403A-989D-3EC86C5CFCE8}" name="Fecha inicial" totalsRowDxfId="262" dataCellStyle="Normal 2" totalsRowCellStyle="Normal 2"/>
    <tableColumn id="2" xr3:uid="{1FEFF33D-5DFD-4799-AC50-0E14E4B675B9}" name="Fecha final" totalsRowDxfId="261" dataCellStyle="Normal 2" totalsRowCellStyle="Normal 2"/>
    <tableColumn id="3" xr3:uid="{7806BBF6-ECE0-4066-B743-4D35A8C024B2}" name="Días" totalsRowDxfId="260" dataCellStyle="Normal 2" totalsRowCellStyle="Normal 2"/>
    <tableColumn id="4" xr3:uid="{78B82EDD-05DD-4AD8-8534-013506A50A41}" name="Tipo" totalsRowDxfId="259" dataCellStyle="Normal 2" totalsRowCellStyle="Normal 2"/>
    <tableColumn id="5" xr3:uid="{C822F33C-CCFB-49F5-8B3F-72F6A6B4E5E5}" name="P1 + P4" totalsRowFunction="sum" totalsRowDxfId="258" dataCellStyle="Normal 2" totalsRowCellStyle="Normal 2"/>
    <tableColumn id="6" xr3:uid="{A8E66971-C96B-45C7-BF3D-02EB24320B27}" name="P2 + P5" totalsRowFunction="sum" totalsRowDxfId="257" dataCellStyle="Normal 2" totalsRowCellStyle="Normal 2"/>
    <tableColumn id="7" xr3:uid="{DD82865F-D87E-4E89-8939-F4B9B2E71D21}" name="P3 + P6" totalsRowFunction="sum" totalsRowDxfId="256" dataCellStyle="Normal 2" totalsRowCellStyle="Normal 2"/>
    <tableColumn id="8" xr3:uid="{A697788B-817B-44E5-BF72-9F29877B8BB0}" name="P1" totalsRowFunction="sum" dataDxfId="255" totalsRowDxfId="254" dataCellStyle="Normal 2" totalsRowCellStyle="Normal 2">
      <calculatedColumnFormula>Tabla3[[#This Row],[P1 + P4]]*VLOOKUP(MONTH(Tabla3[[#This Row],[Fecha final]]),Tabla20[#All],2,FALSE)</calculatedColumnFormula>
    </tableColumn>
    <tableColumn id="9" xr3:uid="{FB3A4470-B331-4A9F-A65B-C9687221EFCD}" name="P2" totalsRowFunction="sum" dataDxfId="253" totalsRowDxfId="252" dataCellStyle="Normal 2" totalsRowCellStyle="Normal 2">
      <calculatedColumnFormula>Tabla3[[#This Row],[P2 + P5]]*VLOOKUP(MONTH(Tabla3[[#This Row],[Fecha final]]),Tabla20[#All],3,FALSE)</calculatedColumnFormula>
    </tableColumn>
    <tableColumn id="10" xr3:uid="{193EB9D1-9374-439E-B3C5-D1E7CCC06057}" name="P3" totalsRowFunction="sum" dataDxfId="251" totalsRowDxfId="250" dataCellStyle="Normal 2" totalsRowCellStyle="Normal 2">
      <calculatedColumnFormula>(Tabla3[[#This Row],[P3 + P6]])*VLOOKUP(MONTH(Tabla3[[#This Row],[Fecha final]]),Tabla20[#All],4,FALSE)</calculatedColumnFormula>
    </tableColumn>
    <tableColumn id="11" xr3:uid="{6A8FE757-CE12-40FB-8D2F-AF5939740DF4}" name="P4" totalsRowFunction="sum" dataDxfId="249" totalsRowDxfId="248" dataCellStyle="Normal 2" totalsRowCellStyle="Normal 2">
      <calculatedColumnFormula>Tabla3[[#This Row],[P1 + P4]]*VLOOKUP(MONTH(Tabla3[[#This Row],[Fecha final]]),Tabla20[#All],5,FALSE)</calculatedColumnFormula>
    </tableColumn>
    <tableColumn id="12" xr3:uid="{6A48DDF5-89FC-4895-AF89-62CB5CFCCFB5}" name="P5" totalsRowFunction="sum" dataDxfId="247" totalsRowDxfId="246" dataCellStyle="Normal 2" totalsRowCellStyle="Normal 2">
      <calculatedColumnFormula>Tabla3[[#This Row],[P2 + P5]]*VLOOKUP(MONTH(Tabla3[[#This Row],[Fecha final]]),Tabla20[#All],6,FALSE)</calculatedColumnFormula>
    </tableColumn>
    <tableColumn id="13" xr3:uid="{AAB6DFC9-C16D-4254-A1A4-0FB1BA56CB96}" name="P6" totalsRowFunction="sum" dataDxfId="245" totalsRowDxfId="244" dataCellStyle="Normal 2" totalsRowCellStyle="Normal 2">
      <calculatedColumnFormula>Tabla3[[#This Row],[P3 + P6]]*VLOOKUP(MONTH(Tabla3[[#This Row],[Fecha final]]),Tabla20[#All],7,FALSE)</calculatedColumnFormula>
    </tableColumn>
    <tableColumn id="14" xr3:uid="{57BB699C-DC0E-448C-95AB-76285EDA9FC5}" name="año" dataDxfId="243" totalsRowDxfId="242" dataCellStyle="Normal 2" totalsRow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3DBE9E-0553-4428-9E47-44B9AF8D655C}" name="Tabla4" displayName="Tabla4" ref="A6:N41" totalsRowShown="0" headerRowCellStyle="Normal 2" dataCellStyle="Normal 2">
  <autoFilter ref="A6:N41" xr:uid="{5C3DBE9E-0553-4428-9E47-44B9AF8D655C}"/>
  <sortState xmlns:xlrd2="http://schemas.microsoft.com/office/spreadsheetml/2017/richdata2" ref="A7:G41">
    <sortCondition ref="A6:A41"/>
  </sortState>
  <tableColumns count="14">
    <tableColumn id="1" xr3:uid="{C34DE82D-343F-436E-854A-0BCD1A63D6B0}" name="Fecha inicial" dataCellStyle="Normal 2"/>
    <tableColumn id="2" xr3:uid="{5108F728-3539-4D28-AD4B-BEF47B277C0B}" name="Fecha final" dataCellStyle="Normal 2"/>
    <tableColumn id="3" xr3:uid="{53A2AB85-21BC-46AC-AB93-1D966681A5DA}" name="Días" dataCellStyle="Normal 2"/>
    <tableColumn id="4" xr3:uid="{BAED37C8-9B36-4F1B-B7EB-95D225D2265E}" name="Tipo" dataCellStyle="Normal 2"/>
    <tableColumn id="5" xr3:uid="{D8CA50F2-2459-40DF-9CE0-5D80A9E9C8CB}" name="P1 + P4" dataCellStyle="Normal 2"/>
    <tableColumn id="6" xr3:uid="{0354E187-1CE2-4F22-97F9-C928E4030771}" name="P2 + P5" dataCellStyle="Normal 2"/>
    <tableColumn id="7" xr3:uid="{9AE83360-0BAD-4442-8A0F-29D0915212C8}" name="P3 + P6" dataCellStyle="Normal 2"/>
    <tableColumn id="8" xr3:uid="{3F15A386-DDD7-430A-BD92-DB2C65A6AE4A}" name="P1" dataDxfId="241" dataCellStyle="Normal 2">
      <calculatedColumnFormula>Tabla4[[#This Row],[P1 + P4]]*VLOOKUP(MONTH(Tabla4[[#This Row],[Fecha final]]),Tabla20[#All],2,FALSE)</calculatedColumnFormula>
    </tableColumn>
    <tableColumn id="9" xr3:uid="{8977CA39-4E75-4F06-992B-8FAEE8A3F446}" name="P2" dataDxfId="240" dataCellStyle="Normal 2">
      <calculatedColumnFormula>Tabla4[[#This Row],[P2 + P5]]*VLOOKUP(MONTH(Tabla4[[#This Row],[Fecha final]]),Tabla20[#All],3,FALSE)</calculatedColumnFormula>
    </tableColumn>
    <tableColumn id="10" xr3:uid="{5A5C249F-FBD5-4F5E-AB43-16DCB35587DB}" name="P3" dataDxfId="239" dataCellStyle="Normal 2">
      <calculatedColumnFormula>(Tabla4[[#This Row],[P3 + P6]])*VLOOKUP(MONTH(Tabla4[[#This Row],[Fecha final]]),Tabla20[#All],4,FALSE)</calculatedColumnFormula>
    </tableColumn>
    <tableColumn id="11" xr3:uid="{C1E7EDE7-EFF1-4208-B3EB-0DA2B046844E}" name="P4" dataDxfId="238" dataCellStyle="Normal 2">
      <calculatedColumnFormula>Tabla4[[#This Row],[P1 + P4]]*VLOOKUP(MONTH(Tabla4[[#This Row],[Fecha final]]),Tabla20[#All],5,FALSE)</calculatedColumnFormula>
    </tableColumn>
    <tableColumn id="12" xr3:uid="{380FDCEF-B60C-4BE6-B8B9-B26BC20D4DDD}" name="P5" dataDxfId="237" dataCellStyle="Normal 2">
      <calculatedColumnFormula>Tabla4[[#This Row],[P2 + P5]]*VLOOKUP(MONTH(Tabla4[[#This Row],[Fecha final]]),Tabla20[#All],6,FALSE)</calculatedColumnFormula>
    </tableColumn>
    <tableColumn id="13" xr3:uid="{B8A7AA5D-DBAF-4FEC-AE14-BA0239DB60BA}" name="P6" dataDxfId="236" dataCellStyle="Normal 2">
      <calculatedColumnFormula>Tabla4[[#This Row],[P3 + P6]]*VLOOKUP(MONTH(Tabla4[[#This Row],[Fecha final]]),Tabla20[#All],7,FALSE)</calculatedColumnFormula>
    </tableColumn>
    <tableColumn id="14" xr3:uid="{7D75FD45-C745-45FB-ACD1-9035F7D57A34}" name="año" dataDxfId="235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9749A44-9AAC-482A-AB03-5966581A63E9}" name="Tabla6" displayName="Tabla6" ref="A6:N42" totalsRowCount="1" headerRowCellStyle="Normal 2" dataCellStyle="Normal 2">
  <autoFilter ref="A6:N41" xr:uid="{E9749A44-9AAC-482A-AB03-5966581A63E9}">
    <filterColumn colId="13">
      <filters>
        <filter val="2022"/>
        <filter val="2023"/>
      </filters>
    </filterColumn>
  </autoFilter>
  <sortState xmlns:xlrd2="http://schemas.microsoft.com/office/spreadsheetml/2017/richdata2" ref="A7:G41">
    <sortCondition ref="A6:A41"/>
  </sortState>
  <tableColumns count="14">
    <tableColumn id="1" xr3:uid="{811FC7D9-C03C-483D-BE41-902595B95E72}" name="Fecha inicial" totalsRowDxfId="234" dataCellStyle="Normal 2" totalsRowCellStyle="Normal 2"/>
    <tableColumn id="2" xr3:uid="{F3F6CD24-2495-4AE5-AC28-64618A2B58C8}" name="Fecha final" totalsRowDxfId="233" dataCellStyle="Normal 2" totalsRowCellStyle="Normal 2"/>
    <tableColumn id="3" xr3:uid="{035F4D7A-7623-4FFB-9EFD-E59B6173E14D}" name="Días" totalsRowDxfId="232" dataCellStyle="Normal 2" totalsRowCellStyle="Normal 2"/>
    <tableColumn id="4" xr3:uid="{64C00CA3-5EE5-4205-8776-49A9DED369E5}" name="Tipo" totalsRowDxfId="231" dataCellStyle="Normal 2" totalsRowCellStyle="Normal 2"/>
    <tableColumn id="5" xr3:uid="{DF5C5167-00C8-47CB-AFFF-3BFC2F62109E}" name="P1 + P4" totalsRowDxfId="230" dataCellStyle="Normal 2" totalsRowCellStyle="Normal 2"/>
    <tableColumn id="6" xr3:uid="{B4BB70C4-096E-4833-9A91-B8CF8B457103}" name="P2 + P5" totalsRowDxfId="229" dataCellStyle="Normal 2" totalsRowCellStyle="Normal 2"/>
    <tableColumn id="7" xr3:uid="{D121D045-EC51-4A9E-94D1-4174B8BF2677}" name="P3 + P6" totalsRowDxfId="228" dataCellStyle="Normal 2" totalsRowCellStyle="Normal 2"/>
    <tableColumn id="8" xr3:uid="{77B76F0B-03C9-4DFE-A7F7-A53A2EDAE4F2}" name="P1" totalsRowFunction="sum" dataDxfId="227" totalsRowDxfId="226" dataCellStyle="Normal 2" totalsRowCellStyle="Normal 2">
      <calculatedColumnFormula>Tabla6[[#This Row],[P1 + P4]]*VLOOKUP(MONTH(Tabla6[[#This Row],[Fecha final]]),Tabla20[#All],2,FALSE)</calculatedColumnFormula>
    </tableColumn>
    <tableColumn id="9" xr3:uid="{71232265-C7BE-4A53-A9CA-64BC85BA8D10}" name="P2" totalsRowFunction="sum" dataDxfId="225" totalsRowDxfId="224" dataCellStyle="Normal 2" totalsRowCellStyle="Normal 2">
      <calculatedColumnFormula>Tabla4[[#This Row],[P2 + P5]]*VLOOKUP(MONTH(Tabla4[[#This Row],[Fecha final]]),Tabla20[#All],3,FALSE)</calculatedColumnFormula>
    </tableColumn>
    <tableColumn id="10" xr3:uid="{A1B46D1A-5035-405B-AB3B-866DB7A88EEA}" name="P3" totalsRowFunction="sum" dataDxfId="223" totalsRowDxfId="222" dataCellStyle="Normal 2" totalsRowCellStyle="Normal 2">
      <calculatedColumnFormula>(Tabla4[[#This Row],[P3 + P6]])*VLOOKUP(MONTH(Tabla4[[#This Row],[Fecha final]]),Tabla20[#All],4,FALSE)</calculatedColumnFormula>
    </tableColumn>
    <tableColumn id="11" xr3:uid="{A77245BA-C500-4A4D-A0C0-3D9979D671FE}" name="P4" totalsRowFunction="sum" dataDxfId="221" totalsRowDxfId="220" dataCellStyle="Normal 2" totalsRowCellStyle="Normal 2">
      <calculatedColumnFormula>Tabla4[[#This Row],[P1 + P4]]*VLOOKUP(MONTH(Tabla4[[#This Row],[Fecha final]]),Tabla20[#All],5,FALSE)</calculatedColumnFormula>
    </tableColumn>
    <tableColumn id="12" xr3:uid="{27F5F81B-C635-4192-B20F-ADB5594C84D2}" name="P5" totalsRowFunction="sum" dataDxfId="219" totalsRowDxfId="218" dataCellStyle="Normal 2" totalsRowCellStyle="Normal 2">
      <calculatedColumnFormula>Tabla4[[#This Row],[P2 + P5]]*VLOOKUP(MONTH(Tabla4[[#This Row],[Fecha final]]),Tabla20[#All],6,FALSE)</calculatedColumnFormula>
    </tableColumn>
    <tableColumn id="13" xr3:uid="{8F0A6B22-AD95-47BC-9AB5-6CF764910C5A}" name="P6" totalsRowFunction="sum" dataDxfId="217" totalsRowDxfId="216" dataCellStyle="Normal 2" totalsRowCellStyle="Normal 2">
      <calculatedColumnFormula>Tabla4[[#This Row],[P3 + P6]]*VLOOKUP(MONTH(Tabla4[[#This Row],[Fecha final]]),Tabla20[#All],7,FALSE)</calculatedColumnFormula>
    </tableColumn>
    <tableColumn id="14" xr3:uid="{C33A8FC4-66A6-4CCC-B894-0A042D500DF4}" name="año" dataDxfId="215" totalsRowDxfId="214" dataCellStyle="Normal 2" totalsRow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378FB6D-6A44-4140-963C-371C090769F6}" name="Tabla31" displayName="Tabla31" ref="A6:N41" totalsRowShown="0" headerRowCellStyle="Normal 2" dataCellStyle="Normal 2">
  <autoFilter ref="A6:N41" xr:uid="{D378FB6D-6A44-4140-963C-371C090769F6}"/>
  <sortState xmlns:xlrd2="http://schemas.microsoft.com/office/spreadsheetml/2017/richdata2" ref="A7:G41">
    <sortCondition ref="A6:A41"/>
  </sortState>
  <tableColumns count="14">
    <tableColumn id="1" xr3:uid="{0CE7DB6D-199D-427B-9790-3AA62468BDF0}" name="Fecha inicial" dataCellStyle="Normal 2"/>
    <tableColumn id="2" xr3:uid="{414F798F-9713-43AE-B0D9-DCC51EE549B4}" name="Fecha final" dataCellStyle="Normal 2"/>
    <tableColumn id="3" xr3:uid="{687C64EF-A790-4110-A719-4325B1666925}" name="Días" dataCellStyle="Normal 2"/>
    <tableColumn id="4" xr3:uid="{8B1AAA19-42AD-44B0-B59F-1B35A6F11274}" name="Tipo" dataCellStyle="Normal 2"/>
    <tableColumn id="5" xr3:uid="{F54D007B-E88D-4576-AE8F-13F84382223C}" name="P1 + P4" dataCellStyle="Normal 2"/>
    <tableColumn id="6" xr3:uid="{B19A0EB1-2819-46BB-902D-04EB11613FE5}" name="P2 + P5" dataCellStyle="Normal 2"/>
    <tableColumn id="7" xr3:uid="{5FC121B8-4A20-489B-A960-BD49F3E37577}" name="P3 + P6" dataCellStyle="Normal 2"/>
    <tableColumn id="8" xr3:uid="{3C598CD4-B8A7-466F-8BA7-F34668D19808}" name="P1" dataDxfId="213" dataCellStyle="Normal 2">
      <calculatedColumnFormula>SUM(Tabla31[[#This Row],[P1 + P4]:[P2 + P5]])</calculatedColumnFormula>
    </tableColumn>
    <tableColumn id="9" xr3:uid="{9A97BE49-2F48-4E2A-B050-108FAAAC076F}" name="P2" dataDxfId="212" dataCellStyle="Normal 2">
      <calculatedColumnFormula>Tabla31[[#This Row],[P3 + P6]]</calculatedColumnFormula>
    </tableColumn>
    <tableColumn id="10" xr3:uid="{9F9927BB-7B6B-47B4-B5EB-4660C409676B}" name="P3" dataDxfId="211" dataCellStyle="Normal 2">
      <calculatedColumnFormula>(Tabla6[[#This Row],[P3 + P6]])*VLOOKUP(MONTH(Tabla6[[#This Row],[Fecha final]]),Tabla20[#All],4,FALSE)</calculatedColumnFormula>
    </tableColumn>
    <tableColumn id="11" xr3:uid="{7091D29A-04AB-42C0-AE16-EAE2F56CE08F}" name="P4" dataDxfId="210" dataCellStyle="Normal 2">
      <calculatedColumnFormula>Tabla6[[#This Row],[P1 + P4]]*VLOOKUP(MONTH(Tabla6[[#This Row],[Fecha final]]),Tabla20[#All],5,FALSE)</calculatedColumnFormula>
    </tableColumn>
    <tableColumn id="12" xr3:uid="{146708CC-635F-4448-8B20-BBD34982872C}" name="P5" dataDxfId="209" dataCellStyle="Normal 2">
      <calculatedColumnFormula>Tabla6[[#This Row],[P2 + P5]]*VLOOKUP(MONTH(Tabla6[[#This Row],[Fecha final]]),Tabla20[#All],6,FALSE)</calculatedColumnFormula>
    </tableColumn>
    <tableColumn id="13" xr3:uid="{37220D54-10AA-44B7-8F9C-96C7F2E96C96}" name="P6" dataDxfId="208" dataCellStyle="Normal 2">
      <calculatedColumnFormula>Tabla6[[#This Row],[P3 + P6]]*VLOOKUP(MONTH(Tabla6[[#This Row],[Fecha final]]),Tabla20[#All],7,FALSE)</calculatedColumnFormula>
    </tableColumn>
    <tableColumn id="14" xr3:uid="{BB9D6600-FB9B-4764-A22C-E537542C4440}" name="año" dataDxfId="207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911F15C8-B066-484A-BCB8-41A8748F34A2}" name="Tabla32" displayName="Tabla32" ref="A6:N41" totalsRowShown="0" headerRowCellStyle="Normal 2" dataCellStyle="Normal 2">
  <autoFilter ref="A6:N41" xr:uid="{911F15C8-B066-484A-BCB8-41A8748F34A2}"/>
  <sortState xmlns:xlrd2="http://schemas.microsoft.com/office/spreadsheetml/2017/richdata2" ref="A7:N41">
    <sortCondition ref="A6:A41"/>
  </sortState>
  <tableColumns count="14">
    <tableColumn id="1" xr3:uid="{6259B22A-8D19-4D77-A550-37E59A95EAF0}" name="Fecha inicial" dataCellStyle="Normal 2"/>
    <tableColumn id="2" xr3:uid="{552B2102-1908-4868-B9BA-383C455EAE94}" name="Fecha final" dataCellStyle="Normal 2"/>
    <tableColumn id="3" xr3:uid="{CE1EC3A6-0D08-4274-835C-F0B9653EDC27}" name="Días" dataCellStyle="Normal 2"/>
    <tableColumn id="4" xr3:uid="{099D82D6-2B47-4AAF-9857-421A854E7AD9}" name="Tipo" dataCellStyle="Normal 2"/>
    <tableColumn id="5" xr3:uid="{B918748A-65BE-4615-803C-97623EA3FF18}" name="P1 + P4" dataCellStyle="Normal 2"/>
    <tableColumn id="6" xr3:uid="{57EFADA1-2187-493C-8301-E3233CACC7AA}" name="P2 + P5" dataCellStyle="Normal 2"/>
    <tableColumn id="7" xr3:uid="{D6F12141-84C4-4AEA-B281-C7B440EAEBB8}" name="P3 + P6" dataCellStyle="Normal 2"/>
    <tableColumn id="8" xr3:uid="{53C2ADE9-AFFA-4A1E-8CED-022332455303}" name="P1" dataDxfId="206" dataCellStyle="Normal 2">
      <calculatedColumnFormula>Tabla6[[#This Row],[P1 + P4]]*VLOOKUP(MONTH(Tabla6[[#This Row],[Fecha final]]),Tabla20[#All],2,FALSE)</calculatedColumnFormula>
    </tableColumn>
    <tableColumn id="9" xr3:uid="{CA849B3E-6773-4618-B7E9-86E75E913EA8}" name="P2" dataDxfId="205" dataCellStyle="Normal 2">
      <calculatedColumnFormula>Tabla6[[#This Row],[P2 + P5]]*VLOOKUP(MONTH(Tabla6[[#This Row],[Fecha final]]),Tabla20[#All],3,FALSE)</calculatedColumnFormula>
    </tableColumn>
    <tableColumn id="10" xr3:uid="{C35D7E4C-B204-45BC-8E4B-A5B7C57016B6}" name="P3" dataDxfId="204" dataCellStyle="Normal 2">
      <calculatedColumnFormula>(Tabla6[[#This Row],[P3 + P6]])*VLOOKUP(MONTH(Tabla6[[#This Row],[Fecha final]]),Tabla20[#All],4,FALSE)</calculatedColumnFormula>
    </tableColumn>
    <tableColumn id="11" xr3:uid="{ADD2266D-7A0E-4CF3-ADB6-29C9469F5A49}" name="P4" dataDxfId="203" dataCellStyle="Normal 2">
      <calculatedColumnFormula>Tabla6[[#This Row],[P1 + P4]]*VLOOKUP(MONTH(Tabla6[[#This Row],[Fecha final]]),Tabla20[#All],5,FALSE)</calculatedColumnFormula>
    </tableColumn>
    <tableColumn id="12" xr3:uid="{0089C364-4AD5-47FC-9F86-904D146C0A0A}" name="P5" dataDxfId="202" dataCellStyle="Normal 2">
      <calculatedColumnFormula>Tabla6[[#This Row],[P2 + P5]]*VLOOKUP(MONTH(Tabla6[[#This Row],[Fecha final]]),Tabla20[#All],6,FALSE)</calculatedColumnFormula>
    </tableColumn>
    <tableColumn id="13" xr3:uid="{F0FBA93F-098B-4E42-8905-3D264F10FB38}" name="P6" dataDxfId="201" dataCellStyle="Normal 2">
      <calculatedColumnFormula>Tabla6[[#This Row],[P3 + P6]]*VLOOKUP(MONTH(Tabla6[[#This Row],[Fecha final]]),Tabla20[#All],7,FALSE)</calculatedColumnFormula>
    </tableColumn>
    <tableColumn id="14" xr3:uid="{BAB7BDF5-4DEC-4CBE-B426-83F8B6D83738}" name="año" dataDxfId="200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8428EA1D-4D50-4869-A210-EA396AD42E2C}" name="Tabla33" displayName="Tabla33" ref="A6:N41" totalsRowShown="0" headerRowCellStyle="Normal 2" dataCellStyle="Normal 2">
  <autoFilter ref="A6:N41" xr:uid="{8428EA1D-4D50-4869-A210-EA396AD42E2C}"/>
  <sortState xmlns:xlrd2="http://schemas.microsoft.com/office/spreadsheetml/2017/richdata2" ref="A7:N41">
    <sortCondition ref="A6:A41"/>
  </sortState>
  <tableColumns count="14">
    <tableColumn id="1" xr3:uid="{A245F593-520A-46F0-A558-33B417F287A7}" name="Fecha inicial" dataCellStyle="Normal 2"/>
    <tableColumn id="2" xr3:uid="{1D411F64-0CAD-4298-965A-C743568634A4}" name="Fecha final" dataCellStyle="Normal 2"/>
    <tableColumn id="3" xr3:uid="{3F33375E-2CD3-4CA2-B698-B6A75EF0AD7E}" name="Días" dataCellStyle="Normal 2"/>
    <tableColumn id="4" xr3:uid="{B301D2B1-56BD-46D6-A833-5CF04C0800DA}" name="Tipo" dataCellStyle="Normal 2"/>
    <tableColumn id="5" xr3:uid="{AC5B75BE-4C59-418B-B665-1829C040BED9}" name="P1 + P4" dataCellStyle="Normal 2"/>
    <tableColumn id="6" xr3:uid="{6C28F25E-41BD-4C28-B491-52387ADFE745}" name="P2 + P5" dataCellStyle="Normal 2"/>
    <tableColumn id="7" xr3:uid="{96CEDD72-A586-4AC2-9F4C-5356AC4CD3CD}" name="P3 + P6" dataCellStyle="Normal 2"/>
    <tableColumn id="8" xr3:uid="{11B46DEC-AFF2-44F3-8C75-B9359A679649}" name="P1" dataDxfId="199" dataCellStyle="Normal 2">
      <calculatedColumnFormula>Tabla6[[#This Row],[P1 + P4]]*VLOOKUP(MONTH(Tabla6[[#This Row],[Fecha final]]),Tabla20[#All],2,FALSE)</calculatedColumnFormula>
    </tableColumn>
    <tableColumn id="9" xr3:uid="{97D5B8EC-8411-40C8-983F-4D6B80CF6B76}" name="P2" dataDxfId="198" dataCellStyle="Normal 2">
      <calculatedColumnFormula>Tabla6[[#This Row],[P2 + P5]]*VLOOKUP(MONTH(Tabla6[[#This Row],[Fecha final]]),Tabla20[#All],3,FALSE)</calculatedColumnFormula>
    </tableColumn>
    <tableColumn id="10" xr3:uid="{4B8AD9B2-EDDD-43C1-897B-47B7D5A4EDFA}" name="P3" dataDxfId="197" dataCellStyle="Normal 2">
      <calculatedColumnFormula>(Tabla6[[#This Row],[P3 + P6]])*VLOOKUP(MONTH(Tabla6[[#This Row],[Fecha final]]),Tabla20[#All],4,FALSE)</calculatedColumnFormula>
    </tableColumn>
    <tableColumn id="11" xr3:uid="{FFBE4228-FDC0-4C91-9179-31B8C67945EB}" name="P4" dataDxfId="196" dataCellStyle="Normal 2">
      <calculatedColumnFormula>Tabla6[[#This Row],[P1 + P4]]*VLOOKUP(MONTH(Tabla6[[#This Row],[Fecha final]]),Tabla20[#All],5,FALSE)</calculatedColumnFormula>
    </tableColumn>
    <tableColumn id="12" xr3:uid="{F979FCC0-9F30-4BBF-A5FE-0D067075FC9F}" name="P5" dataDxfId="195" dataCellStyle="Normal 2">
      <calculatedColumnFormula>Tabla6[[#This Row],[P2 + P5]]*VLOOKUP(MONTH(Tabla6[[#This Row],[Fecha final]]),Tabla20[#All],6,FALSE)</calculatedColumnFormula>
    </tableColumn>
    <tableColumn id="13" xr3:uid="{AA40232B-4A58-4897-93B1-F516CE7C5A16}" name="P6" dataDxfId="194" dataCellStyle="Normal 2">
      <calculatedColumnFormula>Tabla6[[#This Row],[P3 + P6]]*VLOOKUP(MONTH(Tabla6[[#This Row],[Fecha final]]),Tabla20[#All],7,FALSE)</calculatedColumnFormula>
    </tableColumn>
    <tableColumn id="14" xr3:uid="{4AE23618-00A0-4BFE-81B2-41ED15F8B913}" name="año" dataDxfId="193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84D00E1D-75D2-417A-B91E-2E155162745C}" name="Tabla34" displayName="Tabla34" ref="A6:N41" totalsRowShown="0" headerRowCellStyle="Normal 2" dataCellStyle="Normal 2">
  <autoFilter ref="A6:N41" xr:uid="{84D00E1D-75D2-417A-B91E-2E155162745C}"/>
  <sortState xmlns:xlrd2="http://schemas.microsoft.com/office/spreadsheetml/2017/richdata2" ref="A7:N41">
    <sortCondition ref="A6:A41"/>
  </sortState>
  <tableColumns count="14">
    <tableColumn id="1" xr3:uid="{C1C2AEDA-9DAE-43C6-A665-A0E0A40FA91C}" name="Fecha inicial" dataCellStyle="Normal 2"/>
    <tableColumn id="2" xr3:uid="{938FD689-3761-4B70-8485-2B8ECC15303A}" name="Fecha final" dataCellStyle="Normal 2"/>
    <tableColumn id="3" xr3:uid="{7A05527C-2DC4-458A-8F44-8913A73450C7}" name="Días" dataCellStyle="Normal 2"/>
    <tableColumn id="4" xr3:uid="{74BF6314-B812-4D95-81B0-3F89FA0C311B}" name="Tipo" dataCellStyle="Normal 2"/>
    <tableColumn id="5" xr3:uid="{9AEC08C8-FA5E-4B22-A4B3-EB67F90B1A4A}" name="P1 + P4" dataCellStyle="Normal 2"/>
    <tableColumn id="6" xr3:uid="{B69319C7-6D65-46BA-99FD-D2A599B72590}" name="P2 + P5" dataCellStyle="Normal 2"/>
    <tableColumn id="7" xr3:uid="{7F4CA537-17ED-4AEE-8153-B6EC6084CE49}" name="P3 + P6" dataCellStyle="Normal 2"/>
    <tableColumn id="8" xr3:uid="{18E24758-F7C4-4836-B125-2559AF15664D}" name="P1" dataDxfId="192" dataCellStyle="Normal 2">
      <calculatedColumnFormula>SUM(Tabla34[[#This Row],[P1 + P4]:[P2 + P5]])</calculatedColumnFormula>
    </tableColumn>
    <tableColumn id="9" xr3:uid="{4988F173-CE66-4193-8927-6EAE2E68C5ED}" name="P2" dataDxfId="191" dataCellStyle="Normal 2">
      <calculatedColumnFormula>Tabla34[[#This Row],[P3 + P6]]</calculatedColumnFormula>
    </tableColumn>
    <tableColumn id="10" xr3:uid="{ACB4F6EE-CA02-4872-B575-15300C40922B}" name="P3" dataDxfId="190" dataCellStyle="Normal 2">
      <calculatedColumnFormula>(Tabla6[[#This Row],[P3 + P6]])*VLOOKUP(MONTH(Tabla6[[#This Row],[Fecha final]]),Tabla20[#All],4,FALSE)</calculatedColumnFormula>
    </tableColumn>
    <tableColumn id="11" xr3:uid="{54B73A62-43BC-476D-B268-22546141E750}" name="P4" dataDxfId="189" dataCellStyle="Normal 2">
      <calculatedColumnFormula>Tabla6[[#This Row],[P1 + P4]]*VLOOKUP(MONTH(Tabla6[[#This Row],[Fecha final]]),Tabla20[#All],5,FALSE)</calculatedColumnFormula>
    </tableColumn>
    <tableColumn id="12" xr3:uid="{1D90AD65-1684-408B-BB77-CE3CF96B3CA9}" name="P5" dataDxfId="188" dataCellStyle="Normal 2">
      <calculatedColumnFormula>Tabla6[[#This Row],[P2 + P5]]*VLOOKUP(MONTH(Tabla6[[#This Row],[Fecha final]]),Tabla20[#All],6,FALSE)</calculatedColumnFormula>
    </tableColumn>
    <tableColumn id="13" xr3:uid="{E6BFAEBB-930F-43FE-9C18-8E8D98C07CC4}" name="P6" dataDxfId="187" dataCellStyle="Normal 2">
      <calculatedColumnFormula>Tabla6[[#This Row],[P3 + P6]]*VLOOKUP(MONTH(Tabla6[[#This Row],[Fecha final]]),Tabla20[#All],7,FALSE)</calculatedColumnFormula>
    </tableColumn>
    <tableColumn id="14" xr3:uid="{28543D3F-FAE9-49D3-8425-7F94920F8887}" name="año" dataDxfId="186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136161AF-EFFD-47CA-A937-257AB0E86D9E}" name="Tabla35" displayName="Tabla35" ref="A6:N41" totalsRowShown="0" headerRowCellStyle="Normal 2" dataCellStyle="Normal 2">
  <autoFilter ref="A6:N41" xr:uid="{136161AF-EFFD-47CA-A937-257AB0E86D9E}"/>
  <sortState xmlns:xlrd2="http://schemas.microsoft.com/office/spreadsheetml/2017/richdata2" ref="A7:G41">
    <sortCondition ref="A6:A41"/>
  </sortState>
  <tableColumns count="14">
    <tableColumn id="1" xr3:uid="{22B43B22-E828-4D5A-A4D3-53247165B195}" name="Fecha inicial" dataCellStyle="Normal 2"/>
    <tableColumn id="2" xr3:uid="{B9E05374-42B5-4F12-AD51-4B1EA8E6BA4A}" name="Fecha final" dataCellStyle="Normal 2"/>
    <tableColumn id="3" xr3:uid="{0001FC99-A9C0-4ABD-A97C-D73476D129B4}" name="Días" dataCellStyle="Normal 2"/>
    <tableColumn id="4" xr3:uid="{679DACC6-B1C2-4A62-A248-A07D52AD0B9C}" name="Tipo" dataCellStyle="Normal 2"/>
    <tableColumn id="5" xr3:uid="{16EE1AAA-50EF-4164-8213-00E1014D5A11}" name="P1 + P4" dataCellStyle="Normal 2"/>
    <tableColumn id="6" xr3:uid="{455F30AE-2C71-484F-B755-27E8A6D1B890}" name="P2 + P5" dataCellStyle="Normal 2"/>
    <tableColumn id="7" xr3:uid="{024CD77C-9FE7-4A5D-95EB-B8E19BC82BF2}" name="P3 + P6" dataCellStyle="Normal 2"/>
    <tableColumn id="8" xr3:uid="{9DFFD51F-A5C4-4103-BD80-607BCCB664A0}" name="P1" dataDxfId="185" dataCellStyle="Normal 2">
      <calculatedColumnFormula>SUM(Tabla35[[#This Row],[P1 + P4]:[P2 + P5]])</calculatedColumnFormula>
    </tableColumn>
    <tableColumn id="9" xr3:uid="{1B6F8CDB-8A61-4632-A7F5-7F41B8DF77DE}" name="P2" dataDxfId="184" dataCellStyle="Normal 2">
      <calculatedColumnFormula>Tabla35[[#This Row],[P3 + P6]]</calculatedColumnFormula>
    </tableColumn>
    <tableColumn id="10" xr3:uid="{83A4266E-2664-4CEC-BFDE-BEE44E8BC50F}" name="P3" dataDxfId="183" dataCellStyle="Normal 2">
      <calculatedColumnFormula>(Tabla6[[#This Row],[P3 + P6]])*VLOOKUP(MONTH(Tabla6[[#This Row],[Fecha final]]),Tabla20[#All],4,FALSE)</calculatedColumnFormula>
    </tableColumn>
    <tableColumn id="11" xr3:uid="{A2B05E72-8851-49CB-BFF1-332C3F0C7128}" name="P4" dataDxfId="182" dataCellStyle="Normal 2">
      <calculatedColumnFormula>Tabla6[[#This Row],[P1 + P4]]*VLOOKUP(MONTH(Tabla6[[#This Row],[Fecha final]]),Tabla20[#All],5,FALSE)</calculatedColumnFormula>
    </tableColumn>
    <tableColumn id="12" xr3:uid="{B754E0F3-FA1A-4015-9A62-E4DD77C30779}" name="P5" dataDxfId="181" dataCellStyle="Normal 2">
      <calculatedColumnFormula>Tabla6[[#This Row],[P2 + P5]]*VLOOKUP(MONTH(Tabla6[[#This Row],[Fecha final]]),Tabla20[#All],6,FALSE)</calculatedColumnFormula>
    </tableColumn>
    <tableColumn id="13" xr3:uid="{22EE4678-34FB-4831-95AD-A68663CC382D}" name="P6" dataDxfId="180" dataCellStyle="Normal 2">
      <calculatedColumnFormula>Tabla6[[#This Row],[P3 + P6]]*VLOOKUP(MONTH(Tabla6[[#This Row],[Fecha final]]),Tabla20[#All],7,FALSE)</calculatedColumnFormula>
    </tableColumn>
    <tableColumn id="14" xr3:uid="{63BA0EBF-D801-4A40-8200-1160BE58AB9F}" name="año" dataDxfId="179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3B3E45E2-4CDD-4AA6-9028-0D8A2AB51AE0}" name="Tabla36" displayName="Tabla36" ref="A6:N33" totalsRowShown="0" headerRowCellStyle="Normal 2" dataCellStyle="Normal 2">
  <autoFilter ref="A6:N33" xr:uid="{3B3E45E2-4CDD-4AA6-9028-0D8A2AB51AE0}"/>
  <sortState xmlns:xlrd2="http://schemas.microsoft.com/office/spreadsheetml/2017/richdata2" ref="A7:G33">
    <sortCondition ref="A6:A33"/>
  </sortState>
  <tableColumns count="14">
    <tableColumn id="1" xr3:uid="{932D21E4-382F-43F8-A395-0AFF9C2D1ACB}" name="Fecha inicial" dataCellStyle="Normal 2"/>
    <tableColumn id="2" xr3:uid="{53744F68-4D72-420C-9B5F-FA80B73204D2}" name="Fecha final" dataCellStyle="Normal 2"/>
    <tableColumn id="3" xr3:uid="{8F80E129-0914-46E4-BA0B-6DEB52C25298}" name="Días" dataCellStyle="Normal 2"/>
    <tableColumn id="4" xr3:uid="{7E290671-1A53-4233-BD36-1F5631BC6FA7}" name="Tipo" dataCellStyle="Normal 2"/>
    <tableColumn id="5" xr3:uid="{3FF6FCB9-E879-4CD6-B4C1-59017166536D}" name="P1 + P4" dataCellStyle="Normal 2"/>
    <tableColumn id="6" xr3:uid="{97F92B56-D908-4514-BB41-8DFB9B943FD8}" name="P2 + P5" dataCellStyle="Normal 2"/>
    <tableColumn id="7" xr3:uid="{ACE243C8-4B49-4A42-8C0F-B5CF6E9C71B4}" name="P3 + P6" dataCellStyle="Normal 2"/>
    <tableColumn id="8" xr3:uid="{6A88F90C-A822-4B15-9BFD-2EF42416A98F}" name="P1" dataDxfId="178" dataCellStyle="Normal 2">
      <calculatedColumnFormula>SUM(Tabla36[[#This Row],[P1 + P4]:[P2 + P5]])</calculatedColumnFormula>
    </tableColumn>
    <tableColumn id="9" xr3:uid="{4CDDC569-A69F-41DA-96E0-2B42619BCEFB}" name="P2" dataDxfId="177" dataCellStyle="Normal 2">
      <calculatedColumnFormula>Tabla36[[#This Row],[P3 + P6]]</calculatedColumnFormula>
    </tableColumn>
    <tableColumn id="10" xr3:uid="{9918512B-BDDC-47EC-A139-635F87A5AEFC}" name="P3" dataCellStyle="Normal 2"/>
    <tableColumn id="11" xr3:uid="{78267C8B-6218-44ED-BC39-69E48B583A19}" name="P4" dataCellStyle="Normal 2"/>
    <tableColumn id="12" xr3:uid="{BC96D18A-20BF-4E0A-B2A2-0ABABA4CE476}" name="P5" dataCellStyle="Normal 2"/>
    <tableColumn id="13" xr3:uid="{F131E9AC-BADA-491C-B578-2EC17A59413C}" name="P6" dataCellStyle="Normal 2"/>
    <tableColumn id="14" xr3:uid="{7C13279C-C536-4AD5-8FD4-51C3BF8AB998}" name="año" dataDxfId="176" dataCellStyle="Normal 2">
      <calculatedColumnFormula>YEAR(Tabla36[[#This Row],[Fecha final]])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3E29D05-53D7-49F7-AFDB-4727992689E1}" name="Tabla37" displayName="Tabla37" ref="A6:N42" totalsRowShown="0" headerRowCellStyle="Normal 2" dataCellStyle="Normal 2">
  <autoFilter ref="A6:N42" xr:uid="{73E29D05-53D7-49F7-AFDB-4727992689E1}"/>
  <sortState xmlns:xlrd2="http://schemas.microsoft.com/office/spreadsheetml/2017/richdata2" ref="A7:N42">
    <sortCondition ref="A6:A42"/>
  </sortState>
  <tableColumns count="14">
    <tableColumn id="1" xr3:uid="{4322D0C7-32E0-4CAD-86AF-70557057C032}" name="Fecha inicial" dataCellStyle="Normal 2"/>
    <tableColumn id="2" xr3:uid="{60B514B7-B6B7-4994-BBE0-8E054C46A5C2}" name="Fecha final" dataCellStyle="Normal 2"/>
    <tableColumn id="3" xr3:uid="{A1571913-8B86-4D4F-B5EB-40C0D0B48617}" name="Días" dataCellStyle="Normal 2"/>
    <tableColumn id="4" xr3:uid="{CFB62519-9745-46F2-9410-BD166AC98963}" name="Tipo" dataCellStyle="Normal 2"/>
    <tableColumn id="5" xr3:uid="{2BD57591-0C67-4A50-82BD-39CDBF64120D}" name="P1 + P4" dataCellStyle="Normal 2"/>
    <tableColumn id="6" xr3:uid="{62D2298F-79C5-4540-94E7-2CB0BDFFF1E3}" name="P2 + P5" dataCellStyle="Normal 2"/>
    <tableColumn id="7" xr3:uid="{E62AB43F-974C-436A-BC1F-06C913D3542C}" name="P3 + P6" dataCellStyle="Normal 2"/>
    <tableColumn id="8" xr3:uid="{20512F5C-C9E1-46AB-A02F-0DA00C130BF5}" name="P1" dataDxfId="175" dataCellStyle="Normal 2">
      <calculatedColumnFormula>SUM(Tabla37[[#This Row],[P1 + P4]:[P2 + P5]])</calculatedColumnFormula>
    </tableColumn>
    <tableColumn id="9" xr3:uid="{FE7A2719-90F3-4C99-BF47-D7320E654E2B}" name="P2" dataDxfId="174" dataCellStyle="Normal 2">
      <calculatedColumnFormula>Tabla37[[#This Row],[P3 + P6]]</calculatedColumnFormula>
    </tableColumn>
    <tableColumn id="10" xr3:uid="{A6848288-9C50-44AF-B14D-7E6E9E159906}" name="P3" dataCellStyle="Normal 2"/>
    <tableColumn id="11" xr3:uid="{7CCA409D-6DA7-4B64-ABBD-F7329F62C138}" name="P4" dataCellStyle="Normal 2"/>
    <tableColumn id="12" xr3:uid="{7A6E5C5A-98AE-4B6A-92CB-05FD755F7178}" name="P5" dataCellStyle="Normal 2"/>
    <tableColumn id="13" xr3:uid="{4D5DE795-7BEE-4C89-95A4-C022B91408E8}" name="P6" dataCellStyle="Normal 2"/>
    <tableColumn id="14" xr3:uid="{0E1996BB-8CD3-4B85-96A4-90114543C817}" name="año" dataDxfId="173" dataCellStyle="Normal 2">
      <calculatedColumnFormula>YEAR(Tabla37[[#This Row],[Fecha final]])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78743B08-1835-4232-B206-32214609D749}" name="Tabla39" displayName="Tabla39" ref="A6:N41" totalsRowShown="0" headerRowCellStyle="Normal 2" dataCellStyle="Normal 2">
  <autoFilter ref="A6:N41" xr:uid="{78743B08-1835-4232-B206-32214609D749}"/>
  <sortState xmlns:xlrd2="http://schemas.microsoft.com/office/spreadsheetml/2017/richdata2" ref="A7:G41">
    <sortCondition ref="A6:A41"/>
  </sortState>
  <tableColumns count="14">
    <tableColumn id="1" xr3:uid="{034DF135-D5C3-4A1F-96AB-698DF1079468}" name="Fecha inicial" dataCellStyle="Normal 2"/>
    <tableColumn id="2" xr3:uid="{C92B01D0-74B4-499D-B09F-593303C09012}" name="Fecha final" dataCellStyle="Normal 2"/>
    <tableColumn id="3" xr3:uid="{DC215760-1FB7-4590-919D-4D63081C74A5}" name="Días" dataCellStyle="Normal 2"/>
    <tableColumn id="4" xr3:uid="{48B1865E-74ED-40CB-82FF-AC423D638121}" name="Tipo" dataCellStyle="Normal 2"/>
    <tableColumn id="5" xr3:uid="{728E7B34-7EB5-4BB7-8D0E-8B8AEEE3FF3D}" name="P1 + P4" dataCellStyle="Normal 2"/>
    <tableColumn id="6" xr3:uid="{6E560B54-5954-4380-B8B8-FEEAE9F589C5}" name="P2 + P5" dataCellStyle="Normal 2"/>
    <tableColumn id="7" xr3:uid="{456D1949-2708-4EB6-A779-50396157C5AC}" name="P3 + P6" dataCellStyle="Normal 2"/>
    <tableColumn id="8" xr3:uid="{5BD2E41A-A8F1-4083-B2C8-1929ECFE8559}" name="P1" dataDxfId="172" dataCellStyle="Normal 2">
      <calculatedColumnFormula>SUM(Tabla39[[#This Row],[P1 + P4]:[P2 + P5]])</calculatedColumnFormula>
    </tableColumn>
    <tableColumn id="9" xr3:uid="{2F29C088-8300-453F-81AF-4FC6BDEFFDF3}" name="P2" dataDxfId="171" dataCellStyle="Normal 2">
      <calculatedColumnFormula>Tabla39[[#This Row],[P3 + P6]]</calculatedColumnFormula>
    </tableColumn>
    <tableColumn id="10" xr3:uid="{5237BDD8-1167-4704-AD22-DB3FB57A4F5E}" name="P3" dataDxfId="170" dataCellStyle="Normal 2"/>
    <tableColumn id="11" xr3:uid="{DB941CA6-4D28-478C-BC86-00AE18F427C0}" name="P4" dataDxfId="169" dataCellStyle="Normal 2"/>
    <tableColumn id="12" xr3:uid="{7B966485-DC47-4A6B-AD13-620902DB424F}" name="P5" dataDxfId="168" dataCellStyle="Normal 2"/>
    <tableColumn id="13" xr3:uid="{56A29E69-D316-4BCD-AFEB-767A840917A9}" name="P6" dataDxfId="167" dataCellStyle="Normal 2"/>
    <tableColumn id="14" xr3:uid="{9CFEA669-124C-4A55-9326-A1CF4FCF1B81}" name="año" dataDxfId="166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4BA8CB85-8071-4EF3-B7CD-9EA777403A22}" name="Tabla38" displayName="Tabla38" ref="A6:N41" totalsRowShown="0" headerRowCellStyle="Normal 2" dataCellStyle="Normal 2">
  <autoFilter ref="A6:N41" xr:uid="{4BA8CB85-8071-4EF3-B7CD-9EA777403A22}"/>
  <sortState xmlns:xlrd2="http://schemas.microsoft.com/office/spreadsheetml/2017/richdata2" ref="A7:G41">
    <sortCondition ref="A6:A41"/>
  </sortState>
  <tableColumns count="14">
    <tableColumn id="1" xr3:uid="{3C7888B4-D8D0-40D2-8A3B-81942029D69E}" name="Fecha inicial" dataCellStyle="Normal 2"/>
    <tableColumn id="2" xr3:uid="{D8C3DC0E-1CC3-44C7-A615-D2C67889D99C}" name="Fecha final" dataCellStyle="Normal 2"/>
    <tableColumn id="3" xr3:uid="{E64500D9-87F6-4EA4-BA42-28183DA9C93C}" name="Días" dataCellStyle="Normal 2"/>
    <tableColumn id="4" xr3:uid="{FA212773-066D-4DC9-9D79-BCDBE2B2D5F6}" name="Tipo" dataCellStyle="Normal 2"/>
    <tableColumn id="5" xr3:uid="{8F1930EC-EBAC-4079-A7AE-840850A4C11C}" name="P1 + P4" dataCellStyle="Normal 2"/>
    <tableColumn id="6" xr3:uid="{9CF42FA7-8DFE-4488-91F5-C7F75541190C}" name="P2 + P5" dataCellStyle="Normal 2"/>
    <tableColumn id="7" xr3:uid="{B2635A85-0C31-4F94-819D-33137EF631AA}" name="P3 + P6" dataCellStyle="Normal 2"/>
    <tableColumn id="8" xr3:uid="{ECBAB167-C338-44BA-907B-7FB4291D199B}" name="P1" dataDxfId="165" dataCellStyle="Normal 2">
      <calculatedColumnFormula>Tabla39[[#This Row],[P1 + P4]]*VLOOKUP(MONTH(Tabla39[[#This Row],[Fecha final]]),Tabla20[#All],2,FALSE)</calculatedColumnFormula>
    </tableColumn>
    <tableColumn id="9" xr3:uid="{311BC38F-0E25-4818-B733-D776678A50EE}" name="P2" dataDxfId="164" dataCellStyle="Normal 2">
      <calculatedColumnFormula>Tabla39[[#This Row],[P2 + P5]]*VLOOKUP(MONTH(Tabla39[[#This Row],[Fecha final]]),Tabla20[#All],3,FALSE)</calculatedColumnFormula>
    </tableColumn>
    <tableColumn id="10" xr3:uid="{6E461553-D599-4639-8015-E53FDC045B48}" name="P3" dataDxfId="163" dataCellStyle="Normal 2">
      <calculatedColumnFormula>(Tabla39[[#This Row],[P3 + P6]])*VLOOKUP(MONTH(Tabla39[[#This Row],[Fecha final]]),Tabla20[#All],4,FALSE)</calculatedColumnFormula>
    </tableColumn>
    <tableColumn id="11" xr3:uid="{A61659D6-FBC1-49EB-B03F-C87022BB304E}" name="P4" dataDxfId="162" dataCellStyle="Normal 2">
      <calculatedColumnFormula>Tabla39[[#This Row],[P1 + P4]]*VLOOKUP(MONTH(Tabla39[[#This Row],[Fecha final]]),Tabla20[#All],5,FALSE)</calculatedColumnFormula>
    </tableColumn>
    <tableColumn id="12" xr3:uid="{4F117B14-F80B-408A-AF17-20593A657473}" name="P5" dataDxfId="161" dataCellStyle="Normal 2">
      <calculatedColumnFormula>Tabla39[[#This Row],[P2 + P5]]*VLOOKUP(MONTH(Tabla39[[#This Row],[Fecha final]]),Tabla20[#All],6,FALSE)</calculatedColumnFormula>
    </tableColumn>
    <tableColumn id="13" xr3:uid="{D9206072-8ABE-4FF7-A8D3-59A069192DD2}" name="P6" dataDxfId="160" dataCellStyle="Normal 2">
      <calculatedColumnFormula>Tabla39[[#This Row],[P3 + P6]]*VLOOKUP(MONTH(Tabla39[[#This Row],[Fecha final]]),Tabla20[#All],7,FALSE)</calculatedColumnFormula>
    </tableColumn>
    <tableColumn id="14" xr3:uid="{0FB1FE3D-8AB7-4E4F-B554-C001972B517F}" name="año" dataDxfId="159" dataCellStyle="Normal 2">
      <calculatedColumnFormula>YEAR(Tabla3[[#This Row],[Fecha final]])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390B011-3C50-40E4-A073-EFA675DAFB2C}" name="Tabla30" displayName="Tabla30" ref="A6:I41" totalsRowShown="0" headerRowCellStyle="Normal 2" dataCellStyle="Normal 2">
  <autoFilter ref="A6:I41" xr:uid="{9390B011-3C50-40E4-A073-EFA675DAFB2C}"/>
  <sortState xmlns:xlrd2="http://schemas.microsoft.com/office/spreadsheetml/2017/richdata2" ref="A7:G41">
    <sortCondition ref="A6:A41"/>
  </sortState>
  <tableColumns count="9">
    <tableColumn id="1" xr3:uid="{8F742C88-3FF4-416B-BE5B-2324E73EB0C5}" name="Fecha inicial" dataCellStyle="Normal 2"/>
    <tableColumn id="2" xr3:uid="{3E5A4043-395A-496D-AD57-9CA66DBD3903}" name="Fecha final" dataCellStyle="Normal 2"/>
    <tableColumn id="3" xr3:uid="{04344F84-A102-4BF3-9334-190F0BE6D028}" name="Días" dataCellStyle="Normal 2"/>
    <tableColumn id="4" xr3:uid="{3CAE4E2F-302A-46BB-96B9-9802594D346A}" name="Tipo" dataCellStyle="Normal 2"/>
    <tableColumn id="5" xr3:uid="{B0FC185A-BC67-499D-9A24-7EC2552504BA}" name="P1 + P4" dataCellStyle="Normal 2"/>
    <tableColumn id="6" xr3:uid="{556781F3-625E-47DB-88F5-53395EDB5F7D}" name="P2 + P5" dataCellStyle="Normal 2"/>
    <tableColumn id="7" xr3:uid="{450EE5B5-03CD-4CCE-A9C6-0A2D3BD7AEBC}" name="P3 + P6" dataCellStyle="Normal 2"/>
    <tableColumn id="8" xr3:uid="{EEFC6918-53C4-4074-A5A9-97BFD4E0FD95}" name="P1" dataDxfId="158" dataCellStyle="Normal 2">
      <calculatedColumnFormula>SUM(Tabla30[[#This Row],[P1 + P4]:[P2 + P5]])</calculatedColumnFormula>
    </tableColumn>
    <tableColumn id="9" xr3:uid="{64D43030-830B-424E-8C96-BC6430747A59}" name="P2" dataDxfId="157" dataCellStyle="Normal 2">
      <calculatedColumnFormula>Tabla30[[#This Row],[P3 + P6]]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6B9FABE-5C47-494E-A3CA-9D418161FB58}" name="Tabla29" displayName="Tabla29" ref="A6:N41" totalsRowShown="0" headerRowCellStyle="Normal 2" dataCellStyle="Normal 2">
  <autoFilter ref="A6:N41" xr:uid="{36B9FABE-5C47-494E-A3CA-9D418161FB58}"/>
  <sortState xmlns:xlrd2="http://schemas.microsoft.com/office/spreadsheetml/2017/richdata2" ref="A7:N41">
    <sortCondition ref="A6:A41"/>
  </sortState>
  <tableColumns count="14">
    <tableColumn id="1" xr3:uid="{8FC414DC-B44E-4B99-A77F-AC9E119208D7}" name="Fecha inicial" dataCellStyle="Normal 2"/>
    <tableColumn id="2" xr3:uid="{6C366E4B-315D-4D9D-A274-8D6504AC4147}" name="Fecha final" dataCellStyle="Normal 2"/>
    <tableColumn id="3" xr3:uid="{676FE323-4646-411A-B5BD-F9645CAC507B}" name="Días" dataCellStyle="Normal 2"/>
    <tableColumn id="4" xr3:uid="{C2347A2D-7A83-43A6-BD9A-004B3FADBDF8}" name="Tipo" dataCellStyle="Normal 2"/>
    <tableColumn id="5" xr3:uid="{D98B8BAA-6586-4948-AB12-087D755B49E8}" name="P1 + P4" dataCellStyle="Normal 2"/>
    <tableColumn id="6" xr3:uid="{3A6E2B6A-3770-40C9-96C8-C3F9645FCFEA}" name="P2 + P5" dataCellStyle="Normal 2"/>
    <tableColumn id="7" xr3:uid="{D4D42011-150C-4C86-8B64-5BF48586D012}" name="P3 + P6" dataCellStyle="Normal 2"/>
    <tableColumn id="8" xr3:uid="{0846BE7C-31FA-4502-87E1-DE15813328A1}" name="P1" dataDxfId="156" dataCellStyle="Normal 2">
      <calculatedColumnFormula>Tabla6[[#This Row],[P1 + P4]]*VLOOKUP(MONTH(Tabla6[[#This Row],[Fecha final]]),Tabla20[#All],2,FALSE)</calculatedColumnFormula>
    </tableColumn>
    <tableColumn id="9" xr3:uid="{A2296A50-270D-41F2-BAAA-3D1AE23F99F8}" name="P2" dataDxfId="155" dataCellStyle="Normal 2">
      <calculatedColumnFormula>Tabla6[[#This Row],[P2 + P5]]*VLOOKUP(MONTH(Tabla6[[#This Row],[Fecha final]]),Tabla20[#All],3,FALSE)</calculatedColumnFormula>
    </tableColumn>
    <tableColumn id="10" xr3:uid="{11E0CE00-AE99-4E0A-A6C2-BFC1DBAF1296}" name="P3" dataDxfId="154" dataCellStyle="Normal 2">
      <calculatedColumnFormula>(Tabla6[[#This Row],[P3 + P6]])*VLOOKUP(MONTH(Tabla6[[#This Row],[Fecha final]]),Tabla20[#All],4,FALSE)</calculatedColumnFormula>
    </tableColumn>
    <tableColumn id="11" xr3:uid="{7D1170BE-3CC3-44A0-A16D-1F1A32EA4E4B}" name="P4" dataDxfId="153" dataCellStyle="Normal 2">
      <calculatedColumnFormula>Tabla6[[#This Row],[P1 + P4]]*VLOOKUP(MONTH(Tabla6[[#This Row],[Fecha final]]),Tabla20[#All],5,FALSE)</calculatedColumnFormula>
    </tableColumn>
    <tableColumn id="12" xr3:uid="{C89FEA75-0D71-436E-B011-14832616EB21}" name="P5" dataDxfId="152" dataCellStyle="Normal 2">
      <calculatedColumnFormula>Tabla6[[#This Row],[P2 + P5]]*VLOOKUP(MONTH(Tabla6[[#This Row],[Fecha final]]),Tabla20[#All],6,FALSE)</calculatedColumnFormula>
    </tableColumn>
    <tableColumn id="13" xr3:uid="{3CFC3865-3C21-43A9-AAE1-22FEDEE189A7}" name="P6" dataDxfId="151" dataCellStyle="Normal 2">
      <calculatedColumnFormula>Tabla6[[#This Row],[P3 + P6]]*VLOOKUP(MONTH(Tabla6[[#This Row],[Fecha final]]),Tabla20[#All],7,FALSE)</calculatedColumnFormula>
    </tableColumn>
    <tableColumn id="14" xr3:uid="{4E821EF8-EA67-453F-9A7C-C81B0216CE0C}" name="año" dataDxfId="150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3D75AA1-C627-4374-8663-430B74C97FE5}" name="Tabla28" displayName="Tabla28" ref="A6:I41" totalsRowShown="0" headerRowCellStyle="Normal 2" dataCellStyle="Normal 2">
  <autoFilter ref="A6:I41" xr:uid="{93D75AA1-C627-4374-8663-430B74C97FE5}"/>
  <sortState xmlns:xlrd2="http://schemas.microsoft.com/office/spreadsheetml/2017/richdata2" ref="A7:I41">
    <sortCondition ref="A6:A41"/>
  </sortState>
  <tableColumns count="9">
    <tableColumn id="1" xr3:uid="{33D9CDB0-827F-4697-ADB0-6063632C4169}" name="Fecha inicial" dataCellStyle="Normal 2"/>
    <tableColumn id="2" xr3:uid="{216B4DAC-A983-4007-9CD2-0B4C44153409}" name="Fecha final" dataCellStyle="Normal 2"/>
    <tableColumn id="3" xr3:uid="{707B8EAF-B7C1-4D67-ACD9-3E8AF98466A3}" name="Días" dataCellStyle="Normal 2"/>
    <tableColumn id="4" xr3:uid="{2E927B06-E238-463C-8C1C-DC978E605493}" name="Tipo" dataCellStyle="Normal 2"/>
    <tableColumn id="5" xr3:uid="{7502313E-6575-4810-8502-62DFC5A2E9CA}" name="P1 + P4" dataCellStyle="Normal 2"/>
    <tableColumn id="6" xr3:uid="{EE168DB8-F53F-4E37-A84E-C4973E71A339}" name="P2 + P5" dataCellStyle="Normal 2"/>
    <tableColumn id="7" xr3:uid="{64AD0C9D-4B9F-416C-8E2C-1ED83AE38FFD}" name="P3 + P6" dataCellStyle="Normal 2"/>
    <tableColumn id="8" xr3:uid="{71842FEA-C54E-4ED3-AAC0-F36D6D348E0E}" name="P1" dataDxfId="149" dataCellStyle="Normal 2">
      <calculatedColumnFormula>Tabla28[[#This Row],[P1 + P4]]+Tabla28[[#This Row],[P2 + P5]]</calculatedColumnFormula>
    </tableColumn>
    <tableColumn id="9" xr3:uid="{25328EC2-9C71-4802-A7E0-C16A63C1E09F}" name="P2" dataDxfId="148" dataCellStyle="Normal 2">
      <calculatedColumnFormula>Tabla28[[#This Row],[P3 + P6]]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6F550DB-D7CF-4078-BF8F-6268381CB728}" name="Tabla7" displayName="Tabla7" ref="A6:N41" totalsRowShown="0" headerRowCellStyle="Normal 2" dataCellStyle="Normal 2">
  <autoFilter ref="A6:N41" xr:uid="{36F550DB-D7CF-4078-BF8F-6268381CB728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E261ACAC-EB90-4E80-A4A2-E9BC62027D40}" name="Fecha inicial" dataCellStyle="Normal 2"/>
    <tableColumn id="2" xr3:uid="{750AA971-CCD9-4DEB-BAD3-D81CEED02D0C}" name="Fecha final" dataCellStyle="Normal 2"/>
    <tableColumn id="3" xr3:uid="{BD0C4167-0C43-40E6-B76B-B2B2AA08A04D}" name="Días" dataCellStyle="Normal 2"/>
    <tableColumn id="4" xr3:uid="{15E6F8C8-4CAD-487A-853A-9CE23A9D3702}" name="Tipo" dataCellStyle="Normal 2"/>
    <tableColumn id="5" xr3:uid="{61C8FA32-BB47-4C04-B742-8C334F4D7C76}" name="P1 + P4" dataCellStyle="Normal 2"/>
    <tableColumn id="6" xr3:uid="{00E44179-B11D-4996-AC8D-C06F7491E900}" name="P2 + P5" dataCellStyle="Normal 2"/>
    <tableColumn id="7" xr3:uid="{4FB6264D-619E-4A45-9A1B-D30D8E1EED6A}" name="P3 + P6" dataCellStyle="Normal 2"/>
    <tableColumn id="8" xr3:uid="{EF07D209-CE98-46C5-9504-229F68641FD6}" name="P1" dataDxfId="147" dataCellStyle="Normal 2">
      <calculatedColumnFormula>Tabla6[[#This Row],[P1 + P4]]*VLOOKUP(MONTH(Tabla6[[#This Row],[Fecha final]]),Tabla20[#All],2,FALSE)</calculatedColumnFormula>
    </tableColumn>
    <tableColumn id="9" xr3:uid="{1578515F-1CA2-4BA8-84B8-30F623E5D54A}" name="P2" dataDxfId="146" dataCellStyle="Normal 2">
      <calculatedColumnFormula>Tabla6[[#This Row],[P2 + P5]]*VLOOKUP(MONTH(Tabla6[[#This Row],[Fecha final]]),Tabla20[#All],3,FALSE)</calculatedColumnFormula>
    </tableColumn>
    <tableColumn id="10" xr3:uid="{FBA578A2-2D64-485C-BEDC-D34404D8BA08}" name="P3" dataDxfId="145" dataCellStyle="Normal 2">
      <calculatedColumnFormula>(Tabla6[[#This Row],[P3 + P6]])*VLOOKUP(MONTH(Tabla6[[#This Row],[Fecha final]]),Tabla20[#All],4,FALSE)</calculatedColumnFormula>
    </tableColumn>
    <tableColumn id="11" xr3:uid="{D1D6245A-936D-4AD6-BE99-F8FB341C394B}" name="P4" dataDxfId="144" dataCellStyle="Normal 2">
      <calculatedColumnFormula>Tabla6[[#This Row],[P1 + P4]]*VLOOKUP(MONTH(Tabla6[[#This Row],[Fecha final]]),Tabla20[#All],5,FALSE)</calculatedColumnFormula>
    </tableColumn>
    <tableColumn id="12" xr3:uid="{D7ABCFD9-5F28-4BEA-9EE7-52692371FD80}" name="P5" dataDxfId="143" dataCellStyle="Normal 2">
      <calculatedColumnFormula>Tabla6[[#This Row],[P2 + P5]]*VLOOKUP(MONTH(Tabla6[[#This Row],[Fecha final]]),Tabla20[#All],6,FALSE)</calculatedColumnFormula>
    </tableColumn>
    <tableColumn id="13" xr3:uid="{8BF72043-F8BB-4F72-AFE2-D596B57B01B1}" name="P6" dataDxfId="142" dataCellStyle="Normal 2">
      <calculatedColumnFormula>Tabla6[[#This Row],[P3 + P6]]*VLOOKUP(MONTH(Tabla6[[#This Row],[Fecha final]]),Tabla20[#All],7,FALSE)</calculatedColumnFormula>
    </tableColumn>
    <tableColumn id="14" xr3:uid="{0971F7A7-0B1C-47BF-AF67-5A9412CFF834}" name="año" dataDxfId="141" dataCellStyle="Normal 2">
      <calculatedColumnFormula>YEAR(Tabla6[[#This Row],[Fecha final]])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832922E-1172-4417-9147-E1E7B70758E2}" name="Tabla8" displayName="Tabla8" ref="A6:N41" totalsRowShown="0" headerRowCellStyle="Normal 2" dataCellStyle="Normal 2">
  <autoFilter ref="A6:N41" xr:uid="{4832922E-1172-4417-9147-E1E7B70758E2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907B7D36-4C4C-43B8-A02A-52CC521A6355}" name="Fecha inicial" dataCellStyle="Normal 2"/>
    <tableColumn id="2" xr3:uid="{41FA342B-62E5-415A-838F-562943DA4F40}" name="Fecha final" dataCellStyle="Normal 2"/>
    <tableColumn id="3" xr3:uid="{ACA2E153-3117-4723-9AC5-6C4E584FD485}" name="Días" dataCellStyle="Normal 2"/>
    <tableColumn id="4" xr3:uid="{A98E4783-14F1-4AFF-9DF1-E412D5DFD72A}" name="Tipo" dataCellStyle="Normal 2"/>
    <tableColumn id="5" xr3:uid="{989E387C-ECA3-4374-8860-1255296389FC}" name="P1 + P4" dataCellStyle="Normal 2"/>
    <tableColumn id="6" xr3:uid="{1BA7A373-F74E-4537-8F7C-20FFE6F17CA6}" name="P2 + P5" dataCellStyle="Normal 2"/>
    <tableColumn id="7" xr3:uid="{19D2EBA0-DB93-40CB-A53A-C8805A84AAD3}" name="P3 + P6" dataCellStyle="Normal 2"/>
    <tableColumn id="8" xr3:uid="{598FFF6E-3B35-4368-8783-21ED091FBCE3}" name="P1" dataDxfId="140" dataCellStyle="Normal 2">
      <calculatedColumnFormula>Tabla7[[#This Row],[P1 + P4]]*VLOOKUP(MONTH(Tabla7[[#This Row],[Fecha final]]),Tabla20[#All],2,FALSE)</calculatedColumnFormula>
    </tableColumn>
    <tableColumn id="9" xr3:uid="{05A0B1BE-4481-4381-A823-D6BE571874DC}" name="P2" dataDxfId="139" dataCellStyle="Normal 2">
      <calculatedColumnFormula>Tabla7[[#This Row],[P2 + P5]]*VLOOKUP(MONTH(Tabla7[[#This Row],[Fecha final]]),Tabla20[#All],3,FALSE)</calculatedColumnFormula>
    </tableColumn>
    <tableColumn id="10" xr3:uid="{78B40D88-AB78-48E2-B71E-C67318592A3D}" name="P3" dataDxfId="138" dataCellStyle="Normal 2">
      <calculatedColumnFormula>(Tabla7[[#This Row],[P3 + P6]])*VLOOKUP(MONTH(Tabla7[[#This Row],[Fecha final]]),Tabla20[#All],4,FALSE)</calculatedColumnFormula>
    </tableColumn>
    <tableColumn id="11" xr3:uid="{06112E97-D40E-436F-AC27-47D426EC239B}" name="P4" dataDxfId="137" dataCellStyle="Normal 2">
      <calculatedColumnFormula>Tabla7[[#This Row],[P1 + P4]]*VLOOKUP(MONTH(Tabla7[[#This Row],[Fecha final]]),Tabla20[#All],5,FALSE)</calculatedColumnFormula>
    </tableColumn>
    <tableColumn id="12" xr3:uid="{182A6048-E255-49FA-9432-CA62F1FD9ED4}" name="P5" dataDxfId="136" dataCellStyle="Normal 2">
      <calculatedColumnFormula>Tabla7[[#This Row],[P2 + P5]]*VLOOKUP(MONTH(Tabla7[[#This Row],[Fecha final]]),Tabla20[#All],6,FALSE)</calculatedColumnFormula>
    </tableColumn>
    <tableColumn id="13" xr3:uid="{3269EDD2-303C-4A3E-A97D-CC64EEB7F4EF}" name="P6" dataDxfId="135" dataCellStyle="Normal 2">
      <calculatedColumnFormula>Tabla7[[#This Row],[P3 + P6]]*VLOOKUP(MONTH(Tabla7[[#This Row],[Fecha final]]),Tabla20[#All],7,FALSE)</calculatedColumnFormula>
    </tableColumn>
    <tableColumn id="14" xr3:uid="{4143B320-ABA6-4B3D-BB06-1EEE82311235}" name="año" dataDxfId="134" dataCellStyle="Normal 2">
      <calculatedColumnFormula>YEAR(Tabla7[[#This Row],[Fecha final]])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E9918EE-76E7-4C56-B989-6ED62251738C}" name="Tabla9" displayName="Tabla9" ref="A6:N41" totalsRowShown="0" headerRowCellStyle="Normal 2" dataCellStyle="Normal 2">
  <autoFilter ref="A6:N41" xr:uid="{1E9918EE-76E7-4C56-B989-6ED62251738C}"/>
  <sortState xmlns:xlrd2="http://schemas.microsoft.com/office/spreadsheetml/2017/richdata2" ref="A7:G41">
    <sortCondition ref="A6:A41"/>
  </sortState>
  <tableColumns count="14">
    <tableColumn id="1" xr3:uid="{B6BAFE3F-2642-4092-93C2-02F786D1BFA1}" name="Fecha inicial" dataCellStyle="Normal 2"/>
    <tableColumn id="2" xr3:uid="{039C6875-110D-4761-82D7-0A0B54DDBB65}" name="Fecha final" dataCellStyle="Normal 2"/>
    <tableColumn id="3" xr3:uid="{E2BEB39F-6994-4677-819C-3F134BC8172B}" name="Días" dataCellStyle="Normal 2"/>
    <tableColumn id="4" xr3:uid="{35B60DAC-8896-4E49-A7D1-E7F0AD9E20C6}" name="Tipo" dataCellStyle="Normal 2"/>
    <tableColumn id="5" xr3:uid="{0C015E98-79EC-4B49-9584-462D8C92CE58}" name="P1 + P4" dataCellStyle="Normal 2"/>
    <tableColumn id="6" xr3:uid="{DD183B86-3DBC-4DD8-A6F1-ECF9D8B48468}" name="P2 + P5" dataCellStyle="Normal 2"/>
    <tableColumn id="7" xr3:uid="{7AE224D9-8EC6-4126-BCA1-7E082C2322D1}" name="P3 + P6" dataCellStyle="Normal 2"/>
    <tableColumn id="8" xr3:uid="{74B6E10E-754B-4DF2-88DA-82280D72DDBB}" name="P1" dataDxfId="133" dataCellStyle="Normal 2">
      <calculatedColumnFormula>Tabla8[[#This Row],[P1 + P4]]*VLOOKUP(MONTH(Tabla8[[#This Row],[Fecha final]]),Tabla20[#All],2,FALSE)</calculatedColumnFormula>
    </tableColumn>
    <tableColumn id="9" xr3:uid="{4E8D77F1-2BF2-4788-99BD-03130E79360B}" name="P2" dataDxfId="132" dataCellStyle="Normal 2">
      <calculatedColumnFormula>Tabla8[[#This Row],[P2 + P5]]*VLOOKUP(MONTH(Tabla8[[#This Row],[Fecha final]]),Tabla20[#All],3,FALSE)</calculatedColumnFormula>
    </tableColumn>
    <tableColumn id="10" xr3:uid="{A744FF33-2005-48AD-99FD-B4ED37BBF02C}" name="P3" dataDxfId="131" dataCellStyle="Normal 2">
      <calculatedColumnFormula>(Tabla8[[#This Row],[P3 + P6]])*VLOOKUP(MONTH(Tabla8[[#This Row],[Fecha final]]),Tabla20[#All],4,FALSE)</calculatedColumnFormula>
    </tableColumn>
    <tableColumn id="11" xr3:uid="{48BD8C28-1DDA-40E5-B974-2A0652DD3D00}" name="P4" dataDxfId="130" dataCellStyle="Normal 2">
      <calculatedColumnFormula>Tabla8[[#This Row],[P1 + P4]]*VLOOKUP(MONTH(Tabla8[[#This Row],[Fecha final]]),Tabla20[#All],5,FALSE)</calculatedColumnFormula>
    </tableColumn>
    <tableColumn id="12" xr3:uid="{11934A6F-D981-48B2-A035-6CC3877C2BCA}" name="P5" dataDxfId="129" dataCellStyle="Normal 2">
      <calculatedColumnFormula>Tabla8[[#This Row],[P2 + P5]]*VLOOKUP(MONTH(Tabla8[[#This Row],[Fecha final]]),Tabla20[#All],6,FALSE)</calculatedColumnFormula>
    </tableColumn>
    <tableColumn id="13" xr3:uid="{2F751044-5F0F-4271-9102-D41908EEA2E4}" name="P6" dataDxfId="128" dataCellStyle="Normal 2">
      <calculatedColumnFormula>Tabla8[[#This Row],[P3 + P6]]*VLOOKUP(MONTH(Tabla8[[#This Row],[Fecha final]]),Tabla20[#All],7,FALSE)</calculatedColumnFormula>
    </tableColumn>
    <tableColumn id="14" xr3:uid="{626DC9EC-7CF3-489B-A49A-1EBDA890118D}" name="año" dataDxfId="127" dataCellStyle="Normal 2">
      <calculatedColumnFormula>YEAR(Tabla8[[#This Row],[Fecha final]])</calculatedColumnFormula>
    </tableColumn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014DDA3-69AB-48A2-837F-8386E8270CBE}" name="Tabla10" displayName="Tabla10" ref="A6:N41" totalsRowShown="0" headerRowCellStyle="Normal 2" dataCellStyle="Normal 2">
  <autoFilter ref="A6:N41" xr:uid="{5014DDA3-69AB-48A2-837F-8386E8270CBE}"/>
  <sortState xmlns:xlrd2="http://schemas.microsoft.com/office/spreadsheetml/2017/richdata2" ref="A7:G41">
    <sortCondition ref="A6:A41"/>
  </sortState>
  <tableColumns count="14">
    <tableColumn id="1" xr3:uid="{107A583A-21F2-4D20-BCF3-5648341F8CCF}" name="Fecha inicial" dataCellStyle="Normal 2"/>
    <tableColumn id="2" xr3:uid="{07CDC4DC-579F-4BF4-A878-8DF2F26774E1}" name="Fecha final" dataCellStyle="Normal 2"/>
    <tableColumn id="3" xr3:uid="{E3F86919-48C9-405A-BD77-976C73BFB260}" name="Días" dataCellStyle="Normal 2"/>
    <tableColumn id="4" xr3:uid="{00B219FF-E4D9-40B5-86C1-FBEB97AFD8AF}" name="Tipo" dataCellStyle="Normal 2"/>
    <tableColumn id="5" xr3:uid="{716243F7-DEFB-4603-B659-75DC30756313}" name="P1 + P4" dataCellStyle="Normal 2"/>
    <tableColumn id="6" xr3:uid="{19D5CC2F-559E-466D-BCC5-8557545FEADC}" name="P2 + P5" dataCellStyle="Normal 2"/>
    <tableColumn id="7" xr3:uid="{F13476B5-4B73-4AAF-9D16-726B021CA99E}" name="P3 + P6" dataCellStyle="Normal 2"/>
    <tableColumn id="8" xr3:uid="{F987C029-55DC-4B62-B640-676CFD98053F}" name="P1" dataDxfId="126" dataCellStyle="Normal 2">
      <calculatedColumnFormula>Tabla9[[#This Row],[P1 + P4]]*VLOOKUP(MONTH(Tabla9[[#This Row],[Fecha final]]),Tabla20[#All],2,FALSE)</calculatedColumnFormula>
    </tableColumn>
    <tableColumn id="9" xr3:uid="{26F11A5C-312E-498E-B318-D16B253A49B1}" name="P2" dataDxfId="125" dataCellStyle="Normal 2">
      <calculatedColumnFormula>Tabla9[[#This Row],[P2 + P5]]*VLOOKUP(MONTH(Tabla9[[#This Row],[Fecha final]]),Tabla20[#All],3,FALSE)</calculatedColumnFormula>
    </tableColumn>
    <tableColumn id="10" xr3:uid="{3E063CB9-D351-4C4C-81D2-DCA213878D04}" name="P3" dataDxfId="124" dataCellStyle="Normal 2">
      <calculatedColumnFormula>(Tabla9[[#This Row],[P3 + P6]])*VLOOKUP(MONTH(Tabla9[[#This Row],[Fecha final]]),Tabla20[#All],4,FALSE)</calculatedColumnFormula>
    </tableColumn>
    <tableColumn id="11" xr3:uid="{EFDB48A1-5548-4ED5-98F7-740D63A1D112}" name="P4" dataDxfId="123" dataCellStyle="Normal 2">
      <calculatedColumnFormula>Tabla9[[#This Row],[P1 + P4]]*VLOOKUP(MONTH(Tabla9[[#This Row],[Fecha final]]),Tabla20[#All],5,FALSE)</calculatedColumnFormula>
    </tableColumn>
    <tableColumn id="12" xr3:uid="{4428947E-D76B-4E8D-809D-F47E4F2D0CC8}" name="P5" dataDxfId="122" dataCellStyle="Normal 2">
      <calculatedColumnFormula>Tabla9[[#This Row],[P2 + P5]]*VLOOKUP(MONTH(Tabla9[[#This Row],[Fecha final]]),Tabla20[#All],6,FALSE)</calculatedColumnFormula>
    </tableColumn>
    <tableColumn id="13" xr3:uid="{62C7CA4A-7E40-4420-9DB3-8928271FAD2D}" name="P6" dataDxfId="121" dataCellStyle="Normal 2">
      <calculatedColumnFormula>Tabla9[[#This Row],[P3 + P6]]*VLOOKUP(MONTH(Tabla9[[#This Row],[Fecha final]]),Tabla20[#All],7,FALSE)</calculatedColumnFormula>
    </tableColumn>
    <tableColumn id="14" xr3:uid="{7FC13AEE-1BC8-432F-97AF-F7838F97B390}" name="año" dataDxfId="120" dataCellStyle="Normal 2">
      <calculatedColumnFormula>YEAR(Tabla9[[#This Row],[Fecha final]])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E44218A-BB88-4D00-9883-DD9093158F4A}" name="Tabla11" displayName="Tabla11" ref="A6:N41" totalsRowShown="0" headerRowCellStyle="Normal 2" dataCellStyle="Normal 2">
  <autoFilter ref="A6:N41" xr:uid="{3E44218A-BB88-4D00-9883-DD9093158F4A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408B345E-C620-47EE-8DE4-9ADE4061F3FE}" name="Fecha inicial" dataCellStyle="Normal 2"/>
    <tableColumn id="2" xr3:uid="{B024A0DF-82B2-4649-BE8A-BE434CD6154A}" name="Fecha final" dataCellStyle="Normal 2"/>
    <tableColumn id="3" xr3:uid="{BC6687DD-7EBC-49CA-9B26-BE66E7C40C17}" name="Días" dataCellStyle="Normal 2"/>
    <tableColumn id="4" xr3:uid="{B57D2F26-8909-424A-B963-C52E389292D5}" name="Tipo" dataCellStyle="Normal 2"/>
    <tableColumn id="5" xr3:uid="{E922C221-0795-4160-BB3D-B8D92ABA9BA2}" name="P1 + P4" dataCellStyle="Normal 2"/>
    <tableColumn id="6" xr3:uid="{553D83C2-0B5B-48FA-AC97-ACDEFEFF58B0}" name="P2 + P5" dataCellStyle="Normal 2"/>
    <tableColumn id="7" xr3:uid="{03FB1C7C-34C0-4875-971F-BF95D50186E4}" name="P3 + P6" dataCellStyle="Normal 2"/>
    <tableColumn id="8" xr3:uid="{8E07DD3C-7C32-4472-BB57-E7D6310FE0D2}" name="P1" dataDxfId="119" dataCellStyle="Normal 2">
      <calculatedColumnFormula>Tabla10[[#This Row],[P1 + P4]]*VLOOKUP(MONTH(Tabla10[[#This Row],[Fecha final]]),Tabla20[#All],2,FALSE)</calculatedColumnFormula>
    </tableColumn>
    <tableColumn id="9" xr3:uid="{71D93AB5-85CE-46F4-B90C-6D4392726E73}" name="P2" dataDxfId="118" dataCellStyle="Normal 2">
      <calculatedColumnFormula>Tabla10[[#This Row],[P2 + P5]]*VLOOKUP(MONTH(Tabla10[[#This Row],[Fecha final]]),Tabla20[#All],3,FALSE)</calculatedColumnFormula>
    </tableColumn>
    <tableColumn id="10" xr3:uid="{08E22820-52D5-49E6-A734-D2D58567E73D}" name="P3" dataDxfId="117" dataCellStyle="Normal 2">
      <calculatedColumnFormula>(Tabla10[[#This Row],[P3 + P6]])*VLOOKUP(MONTH(Tabla10[[#This Row],[Fecha final]]),Tabla20[#All],4,FALSE)</calculatedColumnFormula>
    </tableColumn>
    <tableColumn id="11" xr3:uid="{C3BF8F87-671E-4D97-99F0-64FF8F3FA9C8}" name="P4" dataDxfId="116" dataCellStyle="Normal 2">
      <calculatedColumnFormula>Tabla10[[#This Row],[P1 + P4]]*VLOOKUP(MONTH(Tabla10[[#This Row],[Fecha final]]),Tabla20[#All],5,FALSE)</calculatedColumnFormula>
    </tableColumn>
    <tableColumn id="12" xr3:uid="{CF0DA520-01E6-45D3-AF04-F4E9EB9E0A59}" name="P5" dataDxfId="115" dataCellStyle="Normal 2">
      <calculatedColumnFormula>Tabla10[[#This Row],[P2 + P5]]*VLOOKUP(MONTH(Tabla10[[#This Row],[Fecha final]]),Tabla20[#All],6,FALSE)</calculatedColumnFormula>
    </tableColumn>
    <tableColumn id="13" xr3:uid="{29DBF544-25F0-408D-BAA7-4569357F4E49}" name="P6" dataDxfId="114" dataCellStyle="Normal 2">
      <calculatedColumnFormula>Tabla10[[#This Row],[P3 + P6]]*VLOOKUP(MONTH(Tabla10[[#This Row],[Fecha final]]),Tabla20[#All],7,FALSE)</calculatedColumnFormula>
    </tableColumn>
    <tableColumn id="14" xr3:uid="{790AA048-A411-47BB-9266-465013685C0F}" name="año" dataDxfId="113" dataCellStyle="Normal 2">
      <calculatedColumnFormula>YEAR(Tabla10[[#This Row],[Fecha final]])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013493A-E6C2-4E5C-9EC5-DE2F6182D9E5}" name="Tabla12" displayName="Tabla12" ref="A6:N41" totalsRowShown="0" headerRowCellStyle="Normal 2" dataCellStyle="Normal 2">
  <autoFilter ref="A6:N41" xr:uid="{1013493A-E6C2-4E5C-9EC5-DE2F6182D9E5}"/>
  <sortState xmlns:xlrd2="http://schemas.microsoft.com/office/spreadsheetml/2017/richdata2" ref="A7:G41">
    <sortCondition ref="A6:A41"/>
  </sortState>
  <tableColumns count="14">
    <tableColumn id="1" xr3:uid="{EF4BA116-9CA7-4168-B9F4-DBB2154F6872}" name="Fecha inicial" dataCellStyle="Normal 2"/>
    <tableColumn id="2" xr3:uid="{552C9AA3-AB0E-406C-965B-1F41B7A3DF75}" name="Fecha final" dataCellStyle="Normal 2"/>
    <tableColumn id="3" xr3:uid="{BC87AE8D-DA95-4934-BB6F-DDDA8D91227F}" name="Días" dataCellStyle="Normal 2"/>
    <tableColumn id="4" xr3:uid="{B4BE04EE-98F2-4251-867A-79482BA450F4}" name="Tipo" dataCellStyle="Normal 2"/>
    <tableColumn id="5" xr3:uid="{F7D52DC5-4342-420D-B7FD-092949ECDAE9}" name="P1 + P4" dataCellStyle="Normal 2"/>
    <tableColumn id="6" xr3:uid="{8BB17298-051C-4889-94CE-72EF253E747C}" name="P2 + P5" dataCellStyle="Normal 2"/>
    <tableColumn id="7" xr3:uid="{720A5F76-8FC8-4E5C-B6B7-7257AB567A19}" name="P3 + P6" dataCellStyle="Normal 2"/>
    <tableColumn id="8" xr3:uid="{5E68CCEB-5FD4-46E6-B09B-100BFA646F58}" name="P1" dataDxfId="112" dataCellStyle="Normal 2">
      <calculatedColumnFormula>Tabla11[[#This Row],[P1 + P4]]*VLOOKUP(MONTH(Tabla11[[#This Row],[Fecha final]]),Tabla20[#All],2,FALSE)</calculatedColumnFormula>
    </tableColumn>
    <tableColumn id="9" xr3:uid="{8ED84BDF-904B-4586-9FD5-4C7B78F0ECF5}" name="P2" dataDxfId="111" dataCellStyle="Normal 2">
      <calculatedColumnFormula>Tabla11[[#This Row],[P2 + P5]]*VLOOKUP(MONTH(Tabla11[[#This Row],[Fecha final]]),Tabla20[#All],3,FALSE)</calculatedColumnFormula>
    </tableColumn>
    <tableColumn id="10" xr3:uid="{A9F8FE53-9CF7-4D97-B745-841723DE7145}" name="P3" dataDxfId="110" dataCellStyle="Normal 2">
      <calculatedColumnFormula>(Tabla11[[#This Row],[P3 + P6]])*VLOOKUP(MONTH(Tabla11[[#This Row],[Fecha final]]),Tabla20[#All],4,FALSE)</calculatedColumnFormula>
    </tableColumn>
    <tableColumn id="11" xr3:uid="{692B5FDE-F2E3-4851-B66E-A6E17F7386A7}" name="P4" dataDxfId="109" dataCellStyle="Normal 2">
      <calculatedColumnFormula>Tabla11[[#This Row],[P1 + P4]]*VLOOKUP(MONTH(Tabla11[[#This Row],[Fecha final]]),Tabla20[#All],5,FALSE)</calculatedColumnFormula>
    </tableColumn>
    <tableColumn id="12" xr3:uid="{E11DB94E-A109-4128-9A81-4D447EC1FF30}" name="P5" dataDxfId="108" dataCellStyle="Normal 2">
      <calculatedColumnFormula>Tabla11[[#This Row],[P2 + P5]]*VLOOKUP(MONTH(Tabla11[[#This Row],[Fecha final]]),Tabla20[#All],6,FALSE)</calculatedColumnFormula>
    </tableColumn>
    <tableColumn id="13" xr3:uid="{2AAA481C-0D10-4D08-8500-192693B461CA}" name="P6" dataDxfId="107" dataCellStyle="Normal 2">
      <calculatedColumnFormula>Tabla11[[#This Row],[P3 + P6]]*VLOOKUP(MONTH(Tabla11[[#This Row],[Fecha final]]),Tabla20[#All],7,FALSE)</calculatedColumnFormula>
    </tableColumn>
    <tableColumn id="14" xr3:uid="{63F15156-05B3-41B3-AEBA-36F618D9486A}" name="año" dataDxfId="106" dataCellStyle="Normal 2">
      <calculatedColumnFormula>YEAR(Tabla11[[#This Row],[Fecha final]])</calculatedColumnFormula>
    </tableColumn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3A08C7D-88C7-4FEB-B326-BBFB18575C92}" name="Tabla14" displayName="Tabla14" ref="A6:N41" totalsRowShown="0" headerRowCellStyle="Normal 2" dataCellStyle="Normal 2">
  <autoFilter ref="A6:N41" xr:uid="{43A08C7D-88C7-4FEB-B326-BBFB18575C92}"/>
  <sortState xmlns:xlrd2="http://schemas.microsoft.com/office/spreadsheetml/2017/richdata2" ref="A7:G41">
    <sortCondition ref="A6:A41"/>
  </sortState>
  <tableColumns count="14">
    <tableColumn id="1" xr3:uid="{DD3306EE-7649-473C-B01B-47A317074E5F}" name="Fecha inicial" dataCellStyle="Normal 2"/>
    <tableColumn id="2" xr3:uid="{68867035-12B4-412A-86FD-80F45814502E}" name="Fecha final" dataCellStyle="Normal 2"/>
    <tableColumn id="3" xr3:uid="{031CACC5-9C15-4710-8926-07C037EA33A3}" name="Días" dataCellStyle="Normal 2"/>
    <tableColumn id="4" xr3:uid="{28DDEE7A-9527-4EF5-B776-2C558481F840}" name="Tipo" dataCellStyle="Normal 2"/>
    <tableColumn id="5" xr3:uid="{4539FD4E-D286-4202-A8DB-FEC21877086C}" name="P1 + P4" dataCellStyle="Normal 2"/>
    <tableColumn id="6" xr3:uid="{734E2B29-3CD0-480E-969E-90EE59D8C12F}" name="P2 + P5" dataCellStyle="Normal 2"/>
    <tableColumn id="7" xr3:uid="{E81A775E-2C0C-452E-AD75-B67462F5BF62}" name="P3 + P6" dataCellStyle="Normal 2"/>
    <tableColumn id="8" xr3:uid="{6281C54E-17F4-460C-93A3-C68EF4762C7A}" name="P1" dataDxfId="105" dataCellStyle="Normal 2">
      <calculatedColumnFormula>Tabla12[[#This Row],[P1 + P4]]*VLOOKUP(MONTH(Tabla12[[#This Row],[Fecha final]]),Tabla20[#All],2,FALSE)</calculatedColumnFormula>
    </tableColumn>
    <tableColumn id="9" xr3:uid="{9C498881-7F09-4CEC-B15F-5F7F84D8DBBD}" name="P2" dataDxfId="104" dataCellStyle="Normal 2">
      <calculatedColumnFormula>Tabla12[[#This Row],[P2 + P5]]*VLOOKUP(MONTH(Tabla12[[#This Row],[Fecha final]]),Tabla20[#All],3,FALSE)</calculatedColumnFormula>
    </tableColumn>
    <tableColumn id="10" xr3:uid="{05E26448-E666-44D5-B09B-10C7EE40204A}" name="P3" dataDxfId="103" dataCellStyle="Normal 2">
      <calculatedColumnFormula>(Tabla12[[#This Row],[P3 + P6]])*VLOOKUP(MONTH(Tabla12[[#This Row],[Fecha final]]),Tabla20[#All],4,FALSE)</calculatedColumnFormula>
    </tableColumn>
    <tableColumn id="11" xr3:uid="{177963E4-80E0-4D8C-9F9F-1CE7B5BD1390}" name="P4" dataDxfId="102" dataCellStyle="Normal 2">
      <calculatedColumnFormula>Tabla12[[#This Row],[P1 + P4]]*VLOOKUP(MONTH(Tabla12[[#This Row],[Fecha final]]),Tabla20[#All],5,FALSE)</calculatedColumnFormula>
    </tableColumn>
    <tableColumn id="12" xr3:uid="{F53F0B42-04FF-4271-9F53-206D6C52A2F7}" name="P5" dataDxfId="101" dataCellStyle="Normal 2">
      <calculatedColumnFormula>Tabla12[[#This Row],[P2 + P5]]*VLOOKUP(MONTH(Tabla12[[#This Row],[Fecha final]]),Tabla20[#All],6,FALSE)</calculatedColumnFormula>
    </tableColumn>
    <tableColumn id="13" xr3:uid="{57BECF3F-E8FF-4F8A-AD06-A67936D031B7}" name="P6" dataDxfId="100" dataCellStyle="Normal 2">
      <calculatedColumnFormula>Tabla12[[#This Row],[P3 + P6]]*VLOOKUP(MONTH(Tabla12[[#This Row],[Fecha final]]),Tabla20[#All],7,FALSE)</calculatedColumnFormula>
    </tableColumn>
    <tableColumn id="14" xr3:uid="{25F126C7-9955-4573-BAD5-604088B98DA9}" name="año" dataDxfId="99" dataCellStyle="Normal 2">
      <calculatedColumnFormula>YEAR(Tabla12[[#This Row],[Fecha final]])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DCA1AE6-4EF4-48AB-AD87-5ADD67640AEA}" name="Tabla15" displayName="Tabla15" ref="A6:N41" totalsRowShown="0" headerRowCellStyle="Normal 2" dataCellStyle="Normal 2">
  <autoFilter ref="A6:N41" xr:uid="{DDCA1AE6-4EF4-48AB-AD87-5ADD67640AEA}"/>
  <sortState xmlns:xlrd2="http://schemas.microsoft.com/office/spreadsheetml/2017/richdata2" ref="A7:G41">
    <sortCondition ref="A6:A41"/>
  </sortState>
  <tableColumns count="14">
    <tableColumn id="1" xr3:uid="{9EB8DA2D-65BD-49DA-BE3B-65516B2F5830}" name="Fecha inicial" dataCellStyle="Normal 2"/>
    <tableColumn id="2" xr3:uid="{F1C7D4C4-5E71-4B54-B750-85DC2FF2C952}" name="Fecha final" dataCellStyle="Normal 2"/>
    <tableColumn id="3" xr3:uid="{E76BB6B4-46D1-4A05-A2F0-62EE1F4FE0F1}" name="Días" dataCellStyle="Normal 2"/>
    <tableColumn id="4" xr3:uid="{0683CF3E-8D4F-4A46-A27D-D75CF380C4E2}" name="Tipo" dataCellStyle="Normal 2"/>
    <tableColumn id="5" xr3:uid="{A4D44B64-81D3-4EFA-BBF7-C5B1FE087CF1}" name="P1 + P4" dataCellStyle="Normal 2"/>
    <tableColumn id="6" xr3:uid="{DA9BD29A-A7D7-4FE4-91D5-544EEA98CF42}" name="P2 + P5" dataCellStyle="Normal 2"/>
    <tableColumn id="7" xr3:uid="{367A94CB-5D1A-40C2-91B5-B7CE7A9277FE}" name="P3 + P6" dataCellStyle="Normal 2"/>
    <tableColumn id="8" xr3:uid="{C3DEA575-9C5B-4560-800A-B8D1B05C6B7B}" name="P1" dataDxfId="98" dataCellStyle="Normal 2">
      <calculatedColumnFormula>Tabla14[[#This Row],[P1 + P4]]*VLOOKUP(MONTH(Tabla14[[#This Row],[Fecha final]]),Tabla20[#All],2,FALSE)</calculatedColumnFormula>
    </tableColumn>
    <tableColumn id="9" xr3:uid="{C639BB1D-061A-4778-9B65-9C6F9018DCC1}" name="P2" dataDxfId="97" dataCellStyle="Normal 2">
      <calculatedColumnFormula>Tabla14[[#This Row],[P2 + P5]]*VLOOKUP(MONTH(Tabla14[[#This Row],[Fecha final]]),Tabla20[#All],3,FALSE)</calculatedColumnFormula>
    </tableColumn>
    <tableColumn id="10" xr3:uid="{28E56EF4-343D-4CB4-9150-63625669129F}" name="P3" dataDxfId="96" dataCellStyle="Normal 2">
      <calculatedColumnFormula>(Tabla14[[#This Row],[P3 + P6]])*VLOOKUP(MONTH(Tabla14[[#This Row],[Fecha final]]),Tabla20[#All],4,FALSE)</calculatedColumnFormula>
    </tableColumn>
    <tableColumn id="11" xr3:uid="{74BD396B-1172-4D93-AEE9-B2FDC3E799E5}" name="P4" dataDxfId="95" dataCellStyle="Normal 2">
      <calculatedColumnFormula>Tabla14[[#This Row],[P1 + P4]]*VLOOKUP(MONTH(Tabla14[[#This Row],[Fecha final]]),Tabla20[#All],5,FALSE)</calculatedColumnFormula>
    </tableColumn>
    <tableColumn id="12" xr3:uid="{211CA75D-9829-45E1-8B13-BFBF2C4EC4E7}" name="P5" dataDxfId="94" dataCellStyle="Normal 2">
      <calculatedColumnFormula>Tabla14[[#This Row],[P2 + P5]]*VLOOKUP(MONTH(Tabla14[[#This Row],[Fecha final]]),Tabla20[#All],6,FALSE)</calculatedColumnFormula>
    </tableColumn>
    <tableColumn id="13" xr3:uid="{0CB65997-EEAE-42A0-9337-26761E171309}" name="P6" dataDxfId="93" dataCellStyle="Normal 2">
      <calculatedColumnFormula>Tabla14[[#This Row],[P3 + P6]]*VLOOKUP(MONTH(Tabla14[[#This Row],[Fecha final]]),Tabla20[#All],7,FALSE)</calculatedColumnFormula>
    </tableColumn>
    <tableColumn id="14" xr3:uid="{042C536D-7B0A-442D-9613-3AA08CD55C38}" name="año" dataDxfId="92" dataCellStyle="Normal 2">
      <calculatedColumnFormula>YEAR(Tabla14[[#This Row],[Fecha final]])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06B242A-2ECE-4648-9780-620CF09B4582}" name="Tabla16" displayName="Tabla16" ref="A6:N41" totalsRowShown="0" headerRowCellStyle="Normal 2" dataCellStyle="Normal 2">
  <autoFilter ref="A6:N41" xr:uid="{D06B242A-2ECE-4648-9780-620CF09B4582}">
    <filterColumn colId="13">
      <filters>
        <filter val="2022"/>
      </filters>
    </filterColumn>
  </autoFilter>
  <sortState xmlns:xlrd2="http://schemas.microsoft.com/office/spreadsheetml/2017/richdata2" ref="A7:G41">
    <sortCondition ref="A6:A41"/>
  </sortState>
  <tableColumns count="14">
    <tableColumn id="1" xr3:uid="{052EC429-A74C-45AA-AF25-B4E5F37EAE2A}" name="Fecha inicial" dataCellStyle="Normal 2"/>
    <tableColumn id="2" xr3:uid="{A1C81D0A-6CF6-4F9C-852B-EDF32E0551E4}" name="Fecha final" dataCellStyle="Normal 2"/>
    <tableColumn id="3" xr3:uid="{C9427F58-4403-48A2-8C65-D5680FD9E35A}" name="Días" dataCellStyle="Normal 2"/>
    <tableColumn id="4" xr3:uid="{CCF7073A-59A4-4D53-B39E-9BE6FC2620D2}" name="Tipo" dataCellStyle="Normal 2"/>
    <tableColumn id="5" xr3:uid="{67F2E00D-8C9E-40E4-BA88-EE1F9A564CE4}" name="P1 + P4" dataCellStyle="Normal 2"/>
    <tableColumn id="6" xr3:uid="{4EBED654-139E-4859-9B50-C9566E46637C}" name="P2 + P5" dataCellStyle="Normal 2"/>
    <tableColumn id="7" xr3:uid="{2826E806-3870-4D58-B79A-A3A5948A88BD}" name="P3 + P6" dataCellStyle="Normal 2"/>
    <tableColumn id="8" xr3:uid="{6B5DCA50-CD22-4702-8B0B-F4804AB7C48F}" name="P1" dataDxfId="91" dataCellStyle="Normal 2">
      <calculatedColumnFormula>Tabla15[[#This Row],[P1 + P4]]*VLOOKUP(MONTH(Tabla15[[#This Row],[Fecha final]]),Tabla20[#All],2,FALSE)</calculatedColumnFormula>
    </tableColumn>
    <tableColumn id="9" xr3:uid="{C90CEA51-1DC6-40EC-A0C5-81636E63AAFC}" name="P2" dataDxfId="90" dataCellStyle="Normal 2">
      <calculatedColumnFormula>Tabla15[[#This Row],[P2 + P5]]*VLOOKUP(MONTH(Tabla15[[#This Row],[Fecha final]]),Tabla20[#All],3,FALSE)</calculatedColumnFormula>
    </tableColumn>
    <tableColumn id="10" xr3:uid="{1F417556-7B03-4457-B840-891081A84C15}" name="P3" dataDxfId="89" dataCellStyle="Normal 2">
      <calculatedColumnFormula>(Tabla15[[#This Row],[P3 + P6]])*VLOOKUP(MONTH(Tabla15[[#This Row],[Fecha final]]),Tabla20[#All],4,FALSE)</calculatedColumnFormula>
    </tableColumn>
    <tableColumn id="11" xr3:uid="{1A9335C1-6C30-4151-9891-CFC043602507}" name="P4" dataDxfId="88" dataCellStyle="Normal 2">
      <calculatedColumnFormula>Tabla15[[#This Row],[P1 + P4]]*VLOOKUP(MONTH(Tabla15[[#This Row],[Fecha final]]),Tabla20[#All],5,FALSE)</calculatedColumnFormula>
    </tableColumn>
    <tableColumn id="12" xr3:uid="{EF6BF543-4C50-4C30-8904-66863725CD00}" name="P5" dataDxfId="87" dataCellStyle="Normal 2">
      <calculatedColumnFormula>Tabla15[[#This Row],[P2 + P5]]*VLOOKUP(MONTH(Tabla15[[#This Row],[Fecha final]]),Tabla20[#All],6,FALSE)</calculatedColumnFormula>
    </tableColumn>
    <tableColumn id="13" xr3:uid="{467250C2-0359-4A01-889E-BF048E4553CA}" name="P6" dataDxfId="86" dataCellStyle="Normal 2">
      <calculatedColumnFormula>Tabla15[[#This Row],[P3 + P6]]*VLOOKUP(MONTH(Tabla15[[#This Row],[Fecha final]]),Tabla20[#All],7,FALSE)</calculatedColumnFormula>
    </tableColumn>
    <tableColumn id="14" xr3:uid="{8252066C-79A8-489C-AA02-724B5ECF1508}" name="año" dataDxfId="85" dataCellStyle="Normal 2">
      <calculatedColumnFormula>YEAR(Tabla15[[#This Row],[Fecha final]])</calculatedColumnFormula>
    </tableColumn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F32F125-9985-4252-B1B6-8A700BDEDB77}" name="Tabla5" displayName="Tabla5" ref="A6:N41" totalsRowShown="0" headerRowCellStyle="Normal 2" dataCellStyle="Normal 2">
  <autoFilter ref="A6:N41" xr:uid="{DF32F125-9985-4252-B1B6-8A700BDEDB77}"/>
  <sortState xmlns:xlrd2="http://schemas.microsoft.com/office/spreadsheetml/2017/richdata2" ref="A7:G41">
    <sortCondition ref="A6:A41"/>
  </sortState>
  <tableColumns count="14">
    <tableColumn id="1" xr3:uid="{F5A9062C-7FCF-4B3C-B967-136EEBD9148D}" name="Fecha inicial" dataCellStyle="Normal 2"/>
    <tableColumn id="2" xr3:uid="{FC13BC7C-22E2-425E-BF39-7544FBA6EA51}" name="Fecha final" dataCellStyle="Normal 2"/>
    <tableColumn id="3" xr3:uid="{3DD83C2B-7B23-4A0C-B913-B6FFF818DFCC}" name="Días" dataCellStyle="Normal 2"/>
    <tableColumn id="4" xr3:uid="{396004E7-9A08-4283-8807-B361E4AD7D28}" name="Tipo" dataCellStyle="Normal 2"/>
    <tableColumn id="5" xr3:uid="{B5A28B8F-09F7-46BA-9967-FE56698565F6}" name="P1 + P4" dataCellStyle="Normal 2"/>
    <tableColumn id="6" xr3:uid="{4430CEED-581B-4D8A-9AD6-9ABD47F015E2}" name="P2 + P5" dataCellStyle="Normal 2"/>
    <tableColumn id="7" xr3:uid="{A0B1FF53-9CE8-4313-81AA-5B1618BA7D85}" name="P3 + P6" dataCellStyle="Normal 2"/>
    <tableColumn id="8" xr3:uid="{F28AE421-4EEE-4A28-9A70-03617766A010}" name="P1" dataDxfId="84" dataCellStyle="Normal 2">
      <calculatedColumnFormula>Tabla16[[#This Row],[P1 + P4]]*VLOOKUP(MONTH(Tabla16[[#This Row],[Fecha final]]),Tabla20[#All],2,FALSE)</calculatedColumnFormula>
    </tableColumn>
    <tableColumn id="9" xr3:uid="{2AC0953E-3BA4-4867-A800-C0AC7104BAC4}" name="P2" dataDxfId="83" dataCellStyle="Normal 2">
      <calculatedColumnFormula>Tabla16[[#This Row],[P2 + P5]]*VLOOKUP(MONTH(Tabla16[[#This Row],[Fecha final]]),Tabla20[#All],3,FALSE)</calculatedColumnFormula>
    </tableColumn>
    <tableColumn id="10" xr3:uid="{B55E8BD7-66AD-4948-91C6-A04B7E0ABB5A}" name="P3" dataDxfId="82" dataCellStyle="Normal 2">
      <calculatedColumnFormula>(Tabla16[[#This Row],[P3 + P6]])*VLOOKUP(MONTH(Tabla16[[#This Row],[Fecha final]]),Tabla20[#All],4,FALSE)</calculatedColumnFormula>
    </tableColumn>
    <tableColumn id="11" xr3:uid="{EF27B1D7-E452-43C1-B6A7-A459A5D347F5}" name="P4" dataDxfId="81" dataCellStyle="Normal 2">
      <calculatedColumnFormula>Tabla16[[#This Row],[P1 + P4]]*VLOOKUP(MONTH(Tabla16[[#This Row],[Fecha final]]),Tabla20[#All],5,FALSE)</calculatedColumnFormula>
    </tableColumn>
    <tableColumn id="12" xr3:uid="{0CD529BB-DF59-481C-A75A-6F3FC55D0C9E}" name="P5" dataDxfId="80" dataCellStyle="Normal 2">
      <calculatedColumnFormula>Tabla16[[#This Row],[P2 + P5]]*VLOOKUP(MONTH(Tabla16[[#This Row],[Fecha final]]),Tabla20[#All],6,FALSE)</calculatedColumnFormula>
    </tableColumn>
    <tableColumn id="13" xr3:uid="{2E59F5BF-60AF-4215-BA6E-F075E6CCFDD9}" name="P6" dataDxfId="79" dataCellStyle="Normal 2">
      <calculatedColumnFormula>Tabla16[[#This Row],[P3 + P6]]*VLOOKUP(MONTH(Tabla16[[#This Row],[Fecha final]]),Tabla20[#All],7,FALSE)</calculatedColumnFormula>
    </tableColumn>
    <tableColumn id="14" xr3:uid="{6768693E-02C8-4975-AA95-A495B450E523}" name="año" dataDxfId="78" dataCellStyle="Normal 2">
      <calculatedColumnFormula>YEAR(Tabla16[[#This Row],[Fecha final]])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1450BE4-FBEC-4047-BEDB-4A275718339D}" name="Tabla17" displayName="Tabla17" ref="A6:N43" totalsRowShown="0" headerRowCellStyle="Normal 2" dataCellStyle="Normal 2">
  <autoFilter ref="A6:N43" xr:uid="{F1450BE4-FBEC-4047-BEDB-4A275718339D}"/>
  <sortState xmlns:xlrd2="http://schemas.microsoft.com/office/spreadsheetml/2017/richdata2" ref="A7:G43">
    <sortCondition ref="A6:A43"/>
  </sortState>
  <tableColumns count="14">
    <tableColumn id="1" xr3:uid="{D6071318-4946-45B5-B7C4-7776201394BF}" name="Fecha inicial" dataCellStyle="Normal 2"/>
    <tableColumn id="2" xr3:uid="{7B575784-F575-4FD9-821F-E8254C042468}" name="Fecha final" dataCellStyle="Normal 2"/>
    <tableColumn id="3" xr3:uid="{3355118A-5DEC-4F2B-8CE5-06F0A327BBF7}" name="Días" dataCellStyle="Normal 2"/>
    <tableColumn id="4" xr3:uid="{063AE39C-12BA-4656-A49A-2283BF48FCED}" name="Tipo" dataCellStyle="Normal 2"/>
    <tableColumn id="5" xr3:uid="{24E0DB93-9F40-4147-B049-0001FCA635D0}" name="P1 + P4" dataCellStyle="Normal 2"/>
    <tableColumn id="6" xr3:uid="{24A36C6B-9F6D-4C79-8384-935DC4BC5450}" name="P2 + P5" dataCellStyle="Normal 2"/>
    <tableColumn id="7" xr3:uid="{1374B642-DF24-4A43-A5EC-51BDB04AFD68}" name="P3 + P6" dataCellStyle="Normal 2"/>
    <tableColumn id="8" xr3:uid="{EE0C896A-A911-40E3-B4B3-86AD8F2CF3C5}" name="P1" dataDxfId="77" dataCellStyle="Normal 2">
      <calculatedColumnFormula>Tabla5[[#This Row],[P1 + P4]]*VLOOKUP(MONTH(Tabla5[[#This Row],[Fecha final]]),Tabla20[#All],2,FALSE)</calculatedColumnFormula>
    </tableColumn>
    <tableColumn id="9" xr3:uid="{1F1E9D62-2899-4FC1-8799-93E44CFF3FBF}" name="P2" dataDxfId="76" dataCellStyle="Normal 2">
      <calculatedColumnFormula>Tabla5[[#This Row],[P2 + P5]]*VLOOKUP(MONTH(Tabla5[[#This Row],[Fecha final]]),Tabla20[#All],3,FALSE)</calculatedColumnFormula>
    </tableColumn>
    <tableColumn id="10" xr3:uid="{DC680B57-CDAC-4916-A591-52478883D5ED}" name="P3" dataDxfId="75" dataCellStyle="Normal 2">
      <calculatedColumnFormula>(Tabla5[[#This Row],[P3 + P6]])*VLOOKUP(MONTH(Tabla5[[#This Row],[Fecha final]]),Tabla20[#All],4,FALSE)</calculatedColumnFormula>
    </tableColumn>
    <tableColumn id="11" xr3:uid="{639737EB-AC92-406F-B982-32252C0CC5CD}" name="P4" dataDxfId="74" dataCellStyle="Normal 2">
      <calculatedColumnFormula>Tabla5[[#This Row],[P1 + P4]]*VLOOKUP(MONTH(Tabla5[[#This Row],[Fecha final]]),Tabla20[#All],5,FALSE)</calculatedColumnFormula>
    </tableColumn>
    <tableColumn id="12" xr3:uid="{150050EE-8C7D-431E-92A8-4DC4EA99E403}" name="P5" dataDxfId="73" dataCellStyle="Normal 2">
      <calculatedColumnFormula>Tabla5[[#This Row],[P2 + P5]]*VLOOKUP(MONTH(Tabla5[[#This Row],[Fecha final]]),Tabla20[#All],6,FALSE)</calculatedColumnFormula>
    </tableColumn>
    <tableColumn id="13" xr3:uid="{4A01969E-3835-47EE-A6FC-5E70C995C63C}" name="P6" dataDxfId="72" dataCellStyle="Normal 2">
      <calculatedColumnFormula>Tabla5[[#This Row],[P3 + P6]]*VLOOKUP(MONTH(Tabla5[[#This Row],[Fecha final]]),Tabla20[#All],7,FALSE)</calculatedColumnFormula>
    </tableColumn>
    <tableColumn id="14" xr3:uid="{4F631FCF-4BF6-4D96-9185-6283B601E512}" name="año" dataDxfId="71" dataCellStyle="Normal 2">
      <calculatedColumnFormula>YEAR(Tabla5[[#This Row],[Fecha final]])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B7B411F-BF75-4097-A84E-8DC8787BB6D6}" name="Tabla18" displayName="Tabla18" ref="A6:N40" totalsRowShown="0" headerRowCellStyle="Normal 2" dataCellStyle="Normal 2">
  <autoFilter ref="A6:N40" xr:uid="{FB7B411F-BF75-4097-A84E-8DC8787BB6D6}"/>
  <sortState xmlns:xlrd2="http://schemas.microsoft.com/office/spreadsheetml/2017/richdata2" ref="A7:G40">
    <sortCondition ref="A6:A40"/>
  </sortState>
  <tableColumns count="14">
    <tableColumn id="1" xr3:uid="{7C45E35C-63E7-4545-91D2-39B3E1C57FBA}" name="Fecha inicial" dataCellStyle="Normal 2"/>
    <tableColumn id="2" xr3:uid="{A3FB7260-79AD-4BCA-8DCA-868D0F622E6D}" name="Fecha final" dataCellStyle="Normal 2"/>
    <tableColumn id="3" xr3:uid="{9DF7CFDC-F762-4354-84D3-0861B2B36912}" name="Días" dataCellStyle="Normal 2"/>
    <tableColumn id="4" xr3:uid="{2517D79F-5C34-4D2E-B000-884312E7245E}" name="Tipo" dataCellStyle="Normal 2"/>
    <tableColumn id="5" xr3:uid="{D0F00C4A-7B58-42BC-98F6-5D4A7416080A}" name="P1 + P4" dataCellStyle="Normal 2"/>
    <tableColumn id="6" xr3:uid="{F7095908-9858-40DE-856E-6FD54513C6D7}" name="P2 + P5" dataCellStyle="Normal 2"/>
    <tableColumn id="7" xr3:uid="{C3E469F0-30F9-47D3-9306-E9A167F40D87}" name="P3 + P6" dataCellStyle="Normal 2"/>
    <tableColumn id="8" xr3:uid="{38A15428-A416-4569-8B37-F4F2167C3B8E}" name="P1" dataDxfId="70" dataCellStyle="Normal 2">
      <calculatedColumnFormula>Tabla17[[#This Row],[P1 + P4]]*VLOOKUP(MONTH(Tabla17[[#This Row],[Fecha final]]),Tabla20[#All],2,FALSE)</calculatedColumnFormula>
    </tableColumn>
    <tableColumn id="9" xr3:uid="{E441799F-8D70-44E1-A92A-E6D2CE63CE7D}" name="P2" dataDxfId="69" dataCellStyle="Normal 2">
      <calculatedColumnFormula>Tabla17[[#This Row],[P2 + P5]]*VLOOKUP(MONTH(Tabla17[[#This Row],[Fecha final]]),Tabla20[#All],3,FALSE)</calculatedColumnFormula>
    </tableColumn>
    <tableColumn id="10" xr3:uid="{4676BCF1-A6E1-4D4A-A27B-24F4FFEA2157}" name="P3" dataDxfId="68" dataCellStyle="Normal 2">
      <calculatedColumnFormula>(Tabla17[[#This Row],[P3 + P6]])*VLOOKUP(MONTH(Tabla17[[#This Row],[Fecha final]]),Tabla20[#All],4,FALSE)</calculatedColumnFormula>
    </tableColumn>
    <tableColumn id="11" xr3:uid="{5CCD83C2-6F99-4A19-A5FE-A5BC660E1E9E}" name="P4" dataDxfId="67" dataCellStyle="Normal 2">
      <calculatedColumnFormula>Tabla17[[#This Row],[P1 + P4]]*VLOOKUP(MONTH(Tabla17[[#This Row],[Fecha final]]),Tabla20[#All],5,FALSE)</calculatedColumnFormula>
    </tableColumn>
    <tableColumn id="12" xr3:uid="{881B3DDD-E302-4B88-8F44-73DD15BA18A2}" name="P5" dataDxfId="66" dataCellStyle="Normal 2">
      <calculatedColumnFormula>Tabla17[[#This Row],[P2 + P5]]*VLOOKUP(MONTH(Tabla17[[#This Row],[Fecha final]]),Tabla20[#All],6,FALSE)</calculatedColumnFormula>
    </tableColumn>
    <tableColumn id="13" xr3:uid="{DEDCFD82-7D3F-434E-859A-DD2A00E97CCA}" name="P6" dataDxfId="65" dataCellStyle="Normal 2">
      <calculatedColumnFormula>Tabla17[[#This Row],[P3 + P6]]*VLOOKUP(MONTH(Tabla17[[#This Row],[Fecha final]]),Tabla20[#All],7,FALSE)</calculatedColumnFormula>
    </tableColumn>
    <tableColumn id="14" xr3:uid="{B9F15D74-45E7-46D9-9326-4FFCD5149B2F}" name="año" dataDxfId="64" dataCellStyle="Normal 2">
      <calculatedColumnFormula>YEAR(Tabla17[[#This Row],[Fecha final]])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CF538C3-51DC-4F85-BE98-83733FA01EB4}" name="Tabla19" displayName="Tabla19" ref="A6:N41" totalsRowShown="0" headerRowCellStyle="Normal 2" dataCellStyle="Normal 2">
  <autoFilter ref="A6:N41" xr:uid="{BCF538C3-51DC-4F85-BE98-83733FA01EB4}"/>
  <sortState xmlns:xlrd2="http://schemas.microsoft.com/office/spreadsheetml/2017/richdata2" ref="A7:G41">
    <sortCondition ref="A6:A41"/>
  </sortState>
  <tableColumns count="14">
    <tableColumn id="1" xr3:uid="{7CF8920A-3F15-4568-A724-3E244DB7B9D5}" name="Fecha inicial" dataCellStyle="Normal 2"/>
    <tableColumn id="2" xr3:uid="{EAE546C1-09E0-4049-81C4-F0F2D2E17DB5}" name="Fecha final" dataCellStyle="Normal 2"/>
    <tableColumn id="3" xr3:uid="{53E5C78A-C875-45EE-8EEC-5B7FF8FD9A3B}" name="Días" dataCellStyle="Normal 2"/>
    <tableColumn id="4" xr3:uid="{F167BE90-D998-4F30-B520-33C6A9AFCE18}" name="Tipo" dataCellStyle="Normal 2"/>
    <tableColumn id="5" xr3:uid="{0D573A96-9680-4615-9BBE-19AE27482A34}" name="P1 + P4" dataCellStyle="Normal 2"/>
    <tableColumn id="6" xr3:uid="{24EAB7FD-6B24-4249-BBF3-0FC0349B5475}" name="P2 + P5" dataCellStyle="Normal 2"/>
    <tableColumn id="7" xr3:uid="{22D77389-BB8C-46D2-942D-CDADA5FC99A5}" name="P3 + P6" dataCellStyle="Normal 2"/>
    <tableColumn id="8" xr3:uid="{CCE1ED2D-8294-44B1-A79A-3C29B6E919E0}" name="P1" dataDxfId="63" dataCellStyle="Normal 2">
      <calculatedColumnFormula>Tabla18[[#This Row],[P1 + P4]]*VLOOKUP(MONTH(Tabla18[[#This Row],[Fecha final]]),Tabla20[#All],2,FALSE)</calculatedColumnFormula>
    </tableColumn>
    <tableColumn id="9" xr3:uid="{CB1E4488-B00B-4521-A34C-7E9EBBC27BF1}" name="P2" dataDxfId="62" dataCellStyle="Normal 2">
      <calculatedColumnFormula>Tabla18[[#This Row],[P2 + P5]]*VLOOKUP(MONTH(Tabla18[[#This Row],[Fecha final]]),Tabla20[#All],3,FALSE)</calculatedColumnFormula>
    </tableColumn>
    <tableColumn id="10" xr3:uid="{5003CC03-BED0-4CBA-AD21-EF0046DA1655}" name="P3" dataDxfId="61" dataCellStyle="Normal 2">
      <calculatedColumnFormula>(Tabla18[[#This Row],[P3 + P6]])*VLOOKUP(MONTH(Tabla18[[#This Row],[Fecha final]]),Tabla20[#All],4,FALSE)</calculatedColumnFormula>
    </tableColumn>
    <tableColumn id="11" xr3:uid="{7C59572C-6C26-40A9-8535-42C393608DE9}" name="P4" dataDxfId="60" dataCellStyle="Normal 2">
      <calculatedColumnFormula>Tabla18[[#This Row],[P1 + P4]]*VLOOKUP(MONTH(Tabla18[[#This Row],[Fecha final]]),Tabla20[#All],5,FALSE)</calculatedColumnFormula>
    </tableColumn>
    <tableColumn id="12" xr3:uid="{CDA0D35C-7BAA-4144-AF75-C9240A2FED65}" name="P5" dataDxfId="59" dataCellStyle="Normal 2">
      <calculatedColumnFormula>Tabla18[[#This Row],[P2 + P5]]*VLOOKUP(MONTH(Tabla18[[#This Row],[Fecha final]]),Tabla20[#All],6,FALSE)</calculatedColumnFormula>
    </tableColumn>
    <tableColumn id="13" xr3:uid="{FDD53C46-0C84-49C8-B593-231CE9ECF498}" name="P6" dataDxfId="58" dataCellStyle="Normal 2">
      <calculatedColumnFormula>Tabla18[[#This Row],[P3 + P6]]*VLOOKUP(MONTH(Tabla18[[#This Row],[Fecha final]]),Tabla20[#All],7,FALSE)</calculatedColumnFormula>
    </tableColumn>
    <tableColumn id="14" xr3:uid="{6E671F87-1DC9-4A0E-A6B6-2B786B423B69}" name="año" dataDxfId="57" dataCellStyle="Normal 2">
      <calculatedColumnFormula>YEAR(Tabla18[[#This Row],[Fecha final]])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80E74F1A-BAC6-4C57-9106-EF4A8E3FEFFF}" name="Tabla23" displayName="Tabla23" ref="A6:N43" totalsRowShown="0" headerRowCellStyle="Normal 2" dataCellStyle="Normal 2">
  <autoFilter ref="A6:N43" xr:uid="{80E74F1A-BAC6-4C57-9106-EF4A8E3FEFFF}">
    <filterColumn colId="13">
      <filters>
        <filter val="2022"/>
      </filters>
    </filterColumn>
  </autoFilter>
  <sortState xmlns:xlrd2="http://schemas.microsoft.com/office/spreadsheetml/2017/richdata2" ref="A7:N43">
    <sortCondition ref="A6:A43"/>
  </sortState>
  <tableColumns count="14">
    <tableColumn id="1" xr3:uid="{5A856ADA-27FE-4EE1-8C9E-E4FC5A5DAF12}" name="Fecha inicial" dataCellStyle="Normal 2"/>
    <tableColumn id="2" xr3:uid="{6185F0EF-C8C6-42BC-92D4-DBCB901FAF73}" name="Fecha final" dataCellStyle="Normal 2"/>
    <tableColumn id="3" xr3:uid="{FE07B728-EC23-4DA3-BA08-3139640561E5}" name="Días" dataCellStyle="Normal 2"/>
    <tableColumn id="4" xr3:uid="{7B323332-5175-4F8C-A160-2CF86FF0FAFF}" name="Tipo" dataCellStyle="Normal 2"/>
    <tableColumn id="5" xr3:uid="{4417E07B-2808-433E-ACDC-AB73D159F252}" name="P1 + P4" dataCellStyle="Normal 2"/>
    <tableColumn id="6" xr3:uid="{9FFD8405-4051-4A60-A68B-2D0A6DB63582}" name="P2 + P5" dataCellStyle="Normal 2"/>
    <tableColumn id="7" xr3:uid="{4EEE6F05-2DD9-4307-BEA1-BB64C48D8ABD}" name="P3 + P6" dataCellStyle="Normal 2"/>
    <tableColumn id="8" xr3:uid="{89A04786-D366-43CE-94F9-6723F49F65B3}" name="P1" dataDxfId="56" dataCellStyle="Normal 2">
      <calculatedColumnFormula>Tabla19[[#This Row],[P1 + P4]]*VLOOKUP(MONTH(Tabla19[[#This Row],[Fecha final]]),Tabla20[#All],2,FALSE)</calculatedColumnFormula>
    </tableColumn>
    <tableColumn id="9" xr3:uid="{CE1512F6-96C5-4EEA-B9C8-8EFD74D1BDE1}" name="P2" dataDxfId="55" dataCellStyle="Normal 2">
      <calculatedColumnFormula>Tabla19[[#This Row],[P2 + P5]]*VLOOKUP(MONTH(Tabla19[[#This Row],[Fecha final]]),Tabla20[#All],3,FALSE)</calculatedColumnFormula>
    </tableColumn>
    <tableColumn id="10" xr3:uid="{955DC2B5-C7B5-4A65-A31B-143F7B4B29E2}" name="P3" dataDxfId="54" dataCellStyle="Normal 2">
      <calculatedColumnFormula>(Tabla19[[#This Row],[P3 + P6]])*VLOOKUP(MONTH(Tabla19[[#This Row],[Fecha final]]),Tabla20[#All],4,FALSE)</calculatedColumnFormula>
    </tableColumn>
    <tableColumn id="11" xr3:uid="{0EF816B8-E2BC-441A-9086-44DFCFDFE2C8}" name="P4" dataDxfId="53" dataCellStyle="Normal 2">
      <calculatedColumnFormula>Tabla19[[#This Row],[P1 + P4]]*VLOOKUP(MONTH(Tabla19[[#This Row],[Fecha final]]),Tabla20[#All],5,FALSE)</calculatedColumnFormula>
    </tableColumn>
    <tableColumn id="12" xr3:uid="{668151DD-889D-4068-9C1E-69EC7B79FBFB}" name="P5" dataDxfId="52" dataCellStyle="Normal 2">
      <calculatedColumnFormula>Tabla19[[#This Row],[P2 + P5]]*VLOOKUP(MONTH(Tabla19[[#This Row],[Fecha final]]),Tabla20[#All],6,FALSE)</calculatedColumnFormula>
    </tableColumn>
    <tableColumn id="13" xr3:uid="{43624F63-DB4A-4199-B619-10D967833242}" name="P6" dataDxfId="51" dataCellStyle="Normal 2">
      <calculatedColumnFormula>Tabla19[[#This Row],[P3 + P6]]*VLOOKUP(MONTH(Tabla19[[#This Row],[Fecha final]]),Tabla20[#All],7,FALSE)</calculatedColumnFormula>
    </tableColumn>
    <tableColumn id="14" xr3:uid="{D1938BCE-A7EA-4E55-8C1C-1F7E1C248E49}" name="AÑO" dataDxfId="50" dataCellStyle="Normal 2">
      <calculatedColumnFormula>YEAR(Tabla19[[#This Row],[Fecha final]])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92D21E1-2066-4D6B-9E49-39584BA69ECB}" name="Tabla24" displayName="Tabla24" ref="A6:N44" totalsRowShown="0" headerRowCellStyle="Normal 2" dataCellStyle="Normal 2">
  <autoFilter ref="A6:N44" xr:uid="{492D21E1-2066-4D6B-9E49-39584BA69ECB}"/>
  <sortState xmlns:xlrd2="http://schemas.microsoft.com/office/spreadsheetml/2017/richdata2" ref="A7:G44">
    <sortCondition ref="A6:A44"/>
  </sortState>
  <tableColumns count="14">
    <tableColumn id="1" xr3:uid="{E2D53CD4-E02D-4B36-A8F7-E6E20780B9E0}" name="Fecha inicial" dataCellStyle="Normal 2"/>
    <tableColumn id="2" xr3:uid="{A5F3FAFF-80F3-487E-B06A-730BD619F15B}" name="Fecha final" dataCellStyle="Normal 2"/>
    <tableColumn id="3" xr3:uid="{919636F4-529D-48C4-B049-1A0CF9C4F3EA}" name="Días" dataCellStyle="Normal 2"/>
    <tableColumn id="4" xr3:uid="{9B4020FD-1A47-4345-A9FC-A41E14371E3F}" name="Tipo" dataCellStyle="Normal 2"/>
    <tableColumn id="5" xr3:uid="{A7F3905F-5212-4AA5-A553-19A096113D0F}" name="P1 + P4" dataCellStyle="Normal 2"/>
    <tableColumn id="6" xr3:uid="{0C1B40AE-9D36-4688-874A-27E6AE423069}" name="P2 + P5" dataCellStyle="Normal 2"/>
    <tableColumn id="7" xr3:uid="{BF57BEB3-2A10-40AF-A2C6-F3E1ED118BE7}" name="P3 + P6" dataCellStyle="Normal 2"/>
    <tableColumn id="8" xr3:uid="{EC48897F-D31C-4DA8-96E0-517598D31706}" name="P1" dataDxfId="49" dataCellStyle="Normal 2">
      <calculatedColumnFormula>SUM(Tabla24[[#This Row],[P1 + P4]:[P2 + P5]])</calculatedColumnFormula>
    </tableColumn>
    <tableColumn id="9" xr3:uid="{2BEC020B-4347-43FB-8FFE-6F7755EE373B}" name="P2" dataDxfId="48" dataCellStyle="Normal 2">
      <calculatedColumnFormula>Tabla24[[#This Row],[P3 + P6]]</calculatedColumnFormula>
    </tableColumn>
    <tableColumn id="10" xr3:uid="{809FB6A7-9DF3-4895-A71D-A22EC7F1FA39}" name="P3" dataDxfId="47" dataCellStyle="Normal 2">
      <calculatedColumnFormula>(Tabla23[[#This Row],[P3 + P6]])*VLOOKUP(MONTH(Tabla23[[#This Row],[Fecha final]]),Tabla20[#All],4,FALSE)</calculatedColumnFormula>
    </tableColumn>
    <tableColumn id="11" xr3:uid="{8C9015FF-D76E-4434-B910-7AD1DE3658BA}" name="P4" dataDxfId="46" dataCellStyle="Normal 2">
      <calculatedColumnFormula>Tabla23[[#This Row],[P1 + P4]]*VLOOKUP(MONTH(Tabla23[[#This Row],[Fecha final]]),Tabla20[#All],5,FALSE)</calculatedColumnFormula>
    </tableColumn>
    <tableColumn id="12" xr3:uid="{6C8817E8-5E7E-444B-A315-95D05B5B832A}" name="P5" dataDxfId="45" dataCellStyle="Normal 2">
      <calculatedColumnFormula>Tabla23[[#This Row],[P2 + P5]]*VLOOKUP(MONTH(Tabla23[[#This Row],[Fecha final]]),Tabla20[#All],6,FALSE)</calculatedColumnFormula>
    </tableColumn>
    <tableColumn id="13" xr3:uid="{E47E45C0-D79F-4A42-843E-55B39B6F12CB}" name="P6" dataDxfId="44" dataCellStyle="Normal 2">
      <calculatedColumnFormula>Tabla23[[#This Row],[P3 + P6]]*VLOOKUP(MONTH(Tabla23[[#This Row],[Fecha final]]),Tabla20[#All],7,FALSE)</calculatedColumnFormula>
    </tableColumn>
    <tableColumn id="14" xr3:uid="{9D214ABA-1ECA-4388-9523-3BE1F5E5D07A}" name="AÑO" dataDxfId="43" dataCellStyle="Normal 2">
      <calculatedColumnFormula>YEAR(Tabla23[[#This Row],[Fecha final]])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81820F96-259F-4F35-905B-4B9AE3FDD69C}" name="Tabla25" displayName="Tabla25" ref="A6:I45" totalsRowShown="0" headerRowCellStyle="Normal 2" dataCellStyle="Normal 2">
  <autoFilter ref="A6:I45" xr:uid="{81820F96-259F-4F35-905B-4B9AE3FDD69C}"/>
  <sortState xmlns:xlrd2="http://schemas.microsoft.com/office/spreadsheetml/2017/richdata2" ref="A7:G45">
    <sortCondition ref="A6:A45"/>
  </sortState>
  <tableColumns count="9">
    <tableColumn id="1" xr3:uid="{A46247AB-438F-48FE-BA93-55FA3C1BD83F}" name="Fecha inicial" dataCellStyle="Normal 2"/>
    <tableColumn id="2" xr3:uid="{4F5E0E28-3260-4C86-8A9A-86C6BE6FD1A6}" name="Fecha final" dataCellStyle="Normal 2"/>
    <tableColumn id="3" xr3:uid="{F1D27EAE-6007-481B-860B-D13C69B2F5F6}" name="Días" dataCellStyle="Normal 2"/>
    <tableColumn id="4" xr3:uid="{3D225DE9-EC1F-46D0-B4EC-BE5B1E7D347D}" name="Tipo" dataCellStyle="Normal 2"/>
    <tableColumn id="5" xr3:uid="{D76F5483-84B6-4F77-831C-F474E6160F29}" name="P1 + P4" dataCellStyle="Normal 2"/>
    <tableColumn id="6" xr3:uid="{920C17E1-D18C-4C03-B103-63B3BBE990FD}" name="P2 + P5" dataCellStyle="Normal 2"/>
    <tableColumn id="7" xr3:uid="{02113DD9-7687-4D07-8D62-2DC4E86FCE24}" name="P3 + P6" dataCellStyle="Normal 2"/>
    <tableColumn id="8" xr3:uid="{81001C59-AA3D-49D5-9612-F632034ED493}" name="p1" dataDxfId="42" dataCellStyle="Normal 2">
      <calculatedColumnFormula>Tabla25[[#This Row],[P1 + P4]]+Tabla25[[#This Row],[P2 + P5]]</calculatedColumnFormula>
    </tableColumn>
    <tableColumn id="9" xr3:uid="{71046657-561E-4A0C-8508-723C0D0ABA9C}" name="p2" dataDxfId="41" dataCellStyle="Normal 2">
      <calculatedColumnFormula>Tabla25[[#This Row],[P3 + P6]]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271F2BB-DCB8-4EB2-9C28-EA23C4649678}" name="Tabla26" displayName="Tabla26" ref="A6:N42" totalsRowShown="0" headerRowCellStyle="Normal 2" dataCellStyle="Normal 2">
  <autoFilter ref="A6:N42" xr:uid="{1271F2BB-DCB8-4EB2-9C28-EA23C4649678}"/>
  <sortState xmlns:xlrd2="http://schemas.microsoft.com/office/spreadsheetml/2017/richdata2" ref="A7:N42">
    <sortCondition ref="A6:A42"/>
  </sortState>
  <tableColumns count="14">
    <tableColumn id="1" xr3:uid="{BFF71EBF-5BA9-4B84-9014-FEE4424438AD}" name="Fecha inicial" dataCellStyle="Normal 2"/>
    <tableColumn id="2" xr3:uid="{3621C37F-937A-4A9C-91A9-BA6772E7AE0E}" name="Fecha final" dataCellStyle="Normal 2"/>
    <tableColumn id="3" xr3:uid="{73E9F8C5-E485-4A4A-B229-FB778FD236E3}" name="Días" dataCellStyle="Normal 2"/>
    <tableColumn id="4" xr3:uid="{86B9DFB7-458C-4C48-AAC9-C0E3034F5A4F}" name="Tipo" dataCellStyle="Normal 2"/>
    <tableColumn id="5" xr3:uid="{E6901429-AD6F-45FB-8EF4-0CAF777FF0B6}" name="P1 + P4" dataCellStyle="Normal 2"/>
    <tableColumn id="6" xr3:uid="{9FDA8DBB-4217-40B9-A73F-F569B355C0AF}" name="P2 + P5" dataCellStyle="Normal 2"/>
    <tableColumn id="7" xr3:uid="{BD1AA30B-4E64-40A1-8370-C8EAFC27E772}" name="P3 + P6" dataCellStyle="Normal 2"/>
    <tableColumn id="8" xr3:uid="{0417A4DA-F0E4-4E48-82E4-24DAEEDE24D8}" name="P1" dataDxfId="40" dataCellStyle="Normal 2">
      <calculatedColumnFormula>Tabla7[[#This Row],[P1 + P4]]*VLOOKUP(MONTH(Tabla7[[#This Row],[Fecha final]]),Tabla20[#All],2,FALSE)</calculatedColumnFormula>
    </tableColumn>
    <tableColumn id="9" xr3:uid="{052A6684-9192-429D-AC7C-3941BF899A53}" name="P2" dataDxfId="39" dataCellStyle="Normal 2">
      <calculatedColumnFormula>Tabla7[[#This Row],[P2 + P5]]*VLOOKUP(MONTH(Tabla7[[#This Row],[Fecha final]]),Tabla20[#All],3,FALSE)</calculatedColumnFormula>
    </tableColumn>
    <tableColumn id="10" xr3:uid="{425A7669-648C-4497-88FA-88B8944D0623}" name="P3" dataDxfId="38" dataCellStyle="Normal 2">
      <calculatedColumnFormula>(Tabla7[[#This Row],[P3 + P6]])*VLOOKUP(MONTH(Tabla7[[#This Row],[Fecha final]]),Tabla20[#All],4,FALSE)</calculatedColumnFormula>
    </tableColumn>
    <tableColumn id="11" xr3:uid="{E2EB1B36-B492-4B7C-BE02-5E553A6CCFA2}" name="P4" dataDxfId="37" dataCellStyle="Normal 2">
      <calculatedColumnFormula>Tabla7[[#This Row],[P1 + P4]]*VLOOKUP(MONTH(Tabla7[[#This Row],[Fecha final]]),Tabla20[#All],5,FALSE)</calculatedColumnFormula>
    </tableColumn>
    <tableColumn id="12" xr3:uid="{45D98F8C-26B8-461F-B143-A8E2A8A939C9}" name="P5" dataDxfId="36" dataCellStyle="Normal 2">
      <calculatedColumnFormula>Tabla7[[#This Row],[P2 + P5]]*VLOOKUP(MONTH(Tabla7[[#This Row],[Fecha final]]),Tabla20[#All],6,FALSE)</calculatedColumnFormula>
    </tableColumn>
    <tableColumn id="13" xr3:uid="{5B913D2E-BD8E-4771-9B97-ECC7A0A35DCE}" name="P6" dataDxfId="35" dataCellStyle="Normal 2">
      <calculatedColumnFormula>Tabla7[[#This Row],[P3 + P6]]*VLOOKUP(MONTH(Tabla7[[#This Row],[Fecha final]]),Tabla20[#All],7,FALSE)</calculatedColumnFormula>
    </tableColumn>
    <tableColumn id="14" xr3:uid="{63CDBDC0-3347-4855-8B71-A081EC1E1A0F}" name="año" dataDxfId="34" dataCellStyle="Normal 2">
      <calculatedColumnFormula>YEAR(Tabla7[[#This Row],[Fecha final]])</calculatedColumnFormula>
    </tableColumn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5DAB1D1-F3FC-49E6-8170-7CEF26296F65}" name="Tabla21" displayName="Tabla21" ref="A6:N41" totalsRowShown="0" headerRowCellStyle="Normal 2" dataCellStyle="Normal 2">
  <autoFilter ref="A6:N41" xr:uid="{F5DAB1D1-F3FC-49E6-8170-7CEF26296F65}"/>
  <sortState xmlns:xlrd2="http://schemas.microsoft.com/office/spreadsheetml/2017/richdata2" ref="A7:G41">
    <sortCondition ref="A6:A41"/>
  </sortState>
  <tableColumns count="14">
    <tableColumn id="1" xr3:uid="{91E24F63-5DAA-43D4-9CDE-9E929D989C98}" name="Fecha inicial" dataCellStyle="Normal 2"/>
    <tableColumn id="2" xr3:uid="{6A11F217-EB2C-4577-9284-0FA3D7C9F310}" name="Fecha final" dataCellStyle="Normal 2"/>
    <tableColumn id="3" xr3:uid="{541E855C-D8D9-434F-8FB8-B7EEA9E61B88}" name="Días" dataCellStyle="Normal 2"/>
    <tableColumn id="4" xr3:uid="{11CA3C1A-019E-4352-8B3D-A1F2AEF69BF1}" name="Tipo" dataCellStyle="Normal 2"/>
    <tableColumn id="5" xr3:uid="{E5B32934-6E3C-4493-B124-8E9063D1CAB9}" name="P1 + P4" dataCellStyle="Normal 2"/>
    <tableColumn id="6" xr3:uid="{E5CC2BE3-FDB3-415B-B5EF-CDD0899B63EE}" name="P2 + P5" dataCellStyle="Normal 2"/>
    <tableColumn id="7" xr3:uid="{E3B626D0-391E-4461-A28D-382A595562FB}" name="P3 + P6" dataCellStyle="Normal 2"/>
    <tableColumn id="8" xr3:uid="{4D5D5B0A-0E8B-4740-B086-3B8CAB3FE026}" name="P1" dataDxfId="33" dataCellStyle="Normal 2">
      <calculatedColumnFormula>Tabla19[[#This Row],[P1 + P4]]*VLOOKUP(MONTH(Tabla19[[#This Row],[Fecha final]]),Tabla20[#All],2,FALSE)</calculatedColumnFormula>
    </tableColumn>
    <tableColumn id="9" xr3:uid="{A3B0574D-59B6-4E29-9009-851B4E4EC961}" name="P2" dataDxfId="32" dataCellStyle="Normal 2">
      <calculatedColumnFormula>Tabla19[[#This Row],[P2 + P5]]*VLOOKUP(MONTH(Tabla19[[#This Row],[Fecha final]]),Tabla20[#All],3,FALSE)</calculatedColumnFormula>
    </tableColumn>
    <tableColumn id="10" xr3:uid="{4124F87A-A163-4F55-945D-F7DA99079528}" name="P3" dataDxfId="31" dataCellStyle="Normal 2">
      <calculatedColumnFormula>(Tabla19[[#This Row],[P3 + P6]])*VLOOKUP(MONTH(Tabla19[[#This Row],[Fecha final]]),Tabla20[#All],4,FALSE)</calculatedColumnFormula>
    </tableColumn>
    <tableColumn id="11" xr3:uid="{754D7AFF-B61F-4EF4-BFAA-AE7C89EC90DB}" name="P4" dataDxfId="30" dataCellStyle="Normal 2">
      <calculatedColumnFormula>Tabla19[[#This Row],[P1 + P4]]*VLOOKUP(MONTH(Tabla19[[#This Row],[Fecha final]]),Tabla20[#All],5,FALSE)</calculatedColumnFormula>
    </tableColumn>
    <tableColumn id="12" xr3:uid="{1B4D91B6-8AE5-4C3F-8649-F5B5AB200C22}" name="P5" dataDxfId="29" dataCellStyle="Normal 2">
      <calculatedColumnFormula>Tabla19[[#This Row],[P2 + P5]]*VLOOKUP(MONTH(Tabla19[[#This Row],[Fecha final]]),Tabla20[#All],6,FALSE)</calculatedColumnFormula>
    </tableColumn>
    <tableColumn id="13" xr3:uid="{05F4217E-6CA5-4D19-80AE-D3A4096BE980}" name="P6" dataDxfId="28" dataCellStyle="Normal 2">
      <calculatedColumnFormula>Tabla19[[#This Row],[P3 + P6]]*VLOOKUP(MONTH(Tabla19[[#This Row],[Fecha final]]),Tabla20[#All],7,FALSE)</calculatedColumnFormula>
    </tableColumn>
    <tableColumn id="14" xr3:uid="{628C162B-D240-492F-A018-0168DD14B8CF}" name="año" dataDxfId="27" dataCellStyle="Normal 2">
      <calculatedColumnFormula>YEAR(Tabla19[[#This Row],[Fecha final]])</calculatedColumnFormula>
    </tableColumn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E869AA63-8337-4CD6-B348-E22405A7150B}" name="Tabla22" displayName="Tabla22" ref="A6:N41" totalsRowShown="0" headerRowCellStyle="Normal 2" dataCellStyle="Normal 2">
  <autoFilter ref="A6:N41" xr:uid="{E869AA63-8337-4CD6-B348-E22405A7150B}">
    <filterColumn colId="13">
      <filters>
        <filter val="2022"/>
        <filter val="2023"/>
      </filters>
    </filterColumn>
  </autoFilter>
  <sortState xmlns:xlrd2="http://schemas.microsoft.com/office/spreadsheetml/2017/richdata2" ref="A7:N41">
    <sortCondition ref="A6:A41"/>
  </sortState>
  <tableColumns count="14">
    <tableColumn id="1" xr3:uid="{BA6A23F5-CA25-422F-BE35-E343BC7D6D4E}" name="Fecha inicial" dataCellStyle="Normal 2"/>
    <tableColumn id="2" xr3:uid="{D9D8C26F-595D-46BF-83F3-E8CB1884DDDF}" name="Fecha final" dataCellStyle="Normal 2"/>
    <tableColumn id="3" xr3:uid="{1DA1BB64-6E24-435B-B7E4-824A9D4E0FFB}" name="Días" dataCellStyle="Normal 2"/>
    <tableColumn id="4" xr3:uid="{AB281C4E-22DE-442C-9F22-359EF2743D92}" name="Tipo" dataCellStyle="Normal 2"/>
    <tableColumn id="5" xr3:uid="{78AC9C8E-A411-4B05-BA9F-CD16B88BBF85}" name="P1 + P4" dataCellStyle="Normal 2"/>
    <tableColumn id="6" xr3:uid="{8E81C715-5DE0-4C84-9649-44C50F0BF882}" name="P2 + P5" dataCellStyle="Normal 2"/>
    <tableColumn id="7" xr3:uid="{C3FF19C5-405A-4175-9440-E6870677CEFD}" name="P3 + P6" dataCellStyle="Normal 2"/>
    <tableColumn id="8" xr3:uid="{777FEBE4-BE55-4AF0-8D5E-5A11837E1E06}" name="P1" dataDxfId="26" dataCellStyle="Normal 2">
      <calculatedColumnFormula>SUM(Tabla22[[#This Row],[P1 + P4]:[P2 + P5]])</calculatedColumnFormula>
    </tableColumn>
    <tableColumn id="9" xr3:uid="{AD94CCAC-3AE3-4F98-ACA6-3C319541783E}" name="P2" dataDxfId="25" dataCellStyle="Normal 2">
      <calculatedColumnFormula>Tabla22[[#This Row],[P3 + P6]]</calculatedColumnFormula>
    </tableColumn>
    <tableColumn id="10" xr3:uid="{7C833AE8-EAFE-4E66-B387-F04C31D2C5F7}" name="P3" dataDxfId="24" dataCellStyle="Normal 2"/>
    <tableColumn id="11" xr3:uid="{F439911D-D7C5-4EDB-97C5-C88EF2227CBE}" name="P4" dataDxfId="23" dataCellStyle="Normal 2"/>
    <tableColumn id="12" xr3:uid="{34611907-598B-495E-AC7B-3F82BDB5C33B}" name="P5" dataDxfId="22" dataCellStyle="Normal 2"/>
    <tableColumn id="13" xr3:uid="{0C623FC1-9217-4910-A299-E843A4C570A0}" name="P6" dataDxfId="21" dataCellStyle="Normal 2"/>
    <tableColumn id="14" xr3:uid="{35166412-4DD9-44C3-98C9-E3A9D01BED9A}" name="año" dataDxfId="20" dataCellStyle="Normal 2">
      <calculatedColumnFormula>YEAR(Tabla21[[#This Row],[Fecha final]])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BF9E6-05CA-4AEA-9748-900473190ED8}">
  <sheetPr>
    <pageSetUpPr fitToPage="1"/>
  </sheetPr>
  <dimension ref="A3:U44"/>
  <sheetViews>
    <sheetView tabSelected="1" workbookViewId="0">
      <selection activeCell="B44" sqref="B44"/>
    </sheetView>
  </sheetViews>
  <sheetFormatPr baseColWidth="10" defaultRowHeight="13.2"/>
  <cols>
    <col min="1" max="1" width="10" customWidth="1"/>
    <col min="2" max="2" width="24.6640625" style="1" bestFit="1" customWidth="1"/>
    <col min="3" max="3" width="29.44140625" style="1" customWidth="1"/>
    <col min="4" max="4" width="79.5546875" bestFit="1" customWidth="1"/>
    <col min="5" max="5" width="13.33203125" style="1" customWidth="1"/>
    <col min="6" max="7" width="12" style="10" customWidth="1"/>
    <col min="8" max="11" width="12" style="8" customWidth="1"/>
    <col min="12" max="12" width="14.6640625" style="1" hidden="1" customWidth="1"/>
    <col min="13" max="13" width="15.44140625" style="1" hidden="1" customWidth="1"/>
    <col min="14" max="14" width="14.6640625" hidden="1" customWidth="1"/>
    <col min="15" max="17" width="13.33203125" customWidth="1"/>
    <col min="24" max="24" width="12.33203125" bestFit="1" customWidth="1"/>
  </cols>
  <sheetData>
    <row r="3" spans="1:21">
      <c r="D3" s="26"/>
    </row>
    <row r="5" spans="1:21">
      <c r="D5" s="1"/>
      <c r="F5" s="8"/>
      <c r="G5" s="8"/>
      <c r="N5" s="1"/>
      <c r="O5" s="1"/>
      <c r="P5" s="1"/>
      <c r="Q5" s="1"/>
    </row>
    <row r="6" spans="1:21">
      <c r="D6" s="1"/>
      <c r="F6" s="8"/>
      <c r="G6" s="8"/>
      <c r="N6" s="1"/>
      <c r="O6" s="1"/>
      <c r="P6" s="1"/>
      <c r="Q6" s="1"/>
    </row>
    <row r="7" spans="1:21" s="2" customFormat="1" ht="39.6">
      <c r="A7" s="25" t="s">
        <v>542</v>
      </c>
      <c r="B7" s="5" t="s">
        <v>0</v>
      </c>
      <c r="C7" s="5" t="s">
        <v>8</v>
      </c>
      <c r="D7" s="6" t="s">
        <v>161</v>
      </c>
      <c r="E7" s="24" t="s">
        <v>1</v>
      </c>
      <c r="F7" s="6" t="s">
        <v>2</v>
      </c>
      <c r="G7" s="6" t="s">
        <v>3</v>
      </c>
      <c r="H7" s="6" t="s">
        <v>4</v>
      </c>
      <c r="I7" s="6" t="s">
        <v>5</v>
      </c>
      <c r="J7" s="6" t="s">
        <v>6</v>
      </c>
      <c r="K7" s="6" t="s">
        <v>7</v>
      </c>
      <c r="L7" s="6" t="s">
        <v>162</v>
      </c>
      <c r="M7" s="6" t="s">
        <v>163</v>
      </c>
      <c r="N7" s="6" t="s">
        <v>164</v>
      </c>
      <c r="O7" s="6" t="s">
        <v>277</v>
      </c>
      <c r="P7" s="6" t="s">
        <v>278</v>
      </c>
      <c r="Q7" s="6" t="s">
        <v>279</v>
      </c>
      <c r="R7" s="6" t="s">
        <v>280</v>
      </c>
      <c r="S7" s="6" t="s">
        <v>281</v>
      </c>
      <c r="T7" s="6" t="s">
        <v>282</v>
      </c>
      <c r="U7" s="22" t="s">
        <v>276</v>
      </c>
    </row>
    <row r="8" spans="1:21">
      <c r="A8" s="28">
        <v>1701</v>
      </c>
      <c r="B8" s="3" t="s">
        <v>10</v>
      </c>
      <c r="C8" s="3" t="s">
        <v>213</v>
      </c>
      <c r="D8" s="15" t="s">
        <v>203</v>
      </c>
      <c r="E8" s="1" t="s">
        <v>9</v>
      </c>
      <c r="F8" s="13">
        <v>31.5</v>
      </c>
      <c r="G8" s="13">
        <v>31.5</v>
      </c>
      <c r="H8" s="13">
        <v>31.5</v>
      </c>
      <c r="I8" s="13">
        <v>31.5</v>
      </c>
      <c r="J8" s="13">
        <v>31.5</v>
      </c>
      <c r="K8" s="13">
        <v>31.5</v>
      </c>
      <c r="L8" s="7">
        <f>SUM('6001EZ'!E27:E37)+'6001EZ'!E38/'6001EZ'!$C$38*31</f>
        <v>8329.6585365853662</v>
      </c>
      <c r="M8" s="7">
        <f>SUM('6001EZ'!F27:F37)+'6001EZ'!F38/'6001EZ'!$C$38*31</f>
        <v>6485.5121951219517</v>
      </c>
      <c r="N8" s="7">
        <f>SUM('6001EZ'!G27:G37)+'6001EZ'!G38/'6001EZ'!$C$38*31</f>
        <v>8401.3902439024387</v>
      </c>
      <c r="O8" s="7">
        <f>SUM('6001EZ'!H27:H37)+'6001EZ'!H38/'6001EZ'!$C$38*31</f>
        <v>4934.6585365853662</v>
      </c>
      <c r="P8" s="7">
        <f>SUM('6001EZ'!I27:I37)+'6001EZ'!I38/'6001EZ'!$C$38*31</f>
        <v>5335.5121951219517</v>
      </c>
      <c r="Q8" s="7">
        <f>SUM('6001EZ'!J27:J37)+'6001EZ'!J38/'6001EZ'!$C$38*31</f>
        <v>1759.1298000000002</v>
      </c>
      <c r="R8" s="7">
        <f>SUM('6001EZ'!K27:K37)+'6001EZ'!K38/'6001EZ'!$C$38*31</f>
        <v>3395</v>
      </c>
      <c r="S8" s="7">
        <f>SUM('6001EZ'!L27:L37)+'6001EZ'!L38/'6001EZ'!$C$38*31</f>
        <v>1150</v>
      </c>
      <c r="T8" s="7">
        <f>SUM('6001EZ'!M27:M37)+'6001EZ'!M38/'6001EZ'!$C$38*31</f>
        <v>6642.2604439024381</v>
      </c>
      <c r="U8" s="7">
        <f>SUM(Tabla1[[#This Row],[Consumo anual P1]:[Consumo anual P6]])</f>
        <v>23216.560975609755</v>
      </c>
    </row>
    <row r="9" spans="1:21">
      <c r="A9" s="29">
        <v>1700</v>
      </c>
      <c r="B9" s="3" t="s">
        <v>11</v>
      </c>
      <c r="C9" s="3" t="s">
        <v>214</v>
      </c>
      <c r="D9" s="15" t="s">
        <v>12</v>
      </c>
      <c r="E9" s="1" t="s">
        <v>25</v>
      </c>
      <c r="F9" s="13">
        <v>8.8000000000000007</v>
      </c>
      <c r="G9" s="13">
        <v>8.8000000000000007</v>
      </c>
      <c r="H9" s="13" t="s">
        <v>156</v>
      </c>
      <c r="I9" s="13" t="s">
        <v>156</v>
      </c>
      <c r="J9" s="13" t="s">
        <v>156</v>
      </c>
      <c r="K9" s="13" t="s">
        <v>156</v>
      </c>
      <c r="L9" s="7">
        <f>SUM('2002TQ'!E26:E37)+'2002TQ'!E25/30*1+'2002TQ'!E38/34*19</f>
        <v>2782.113725490196</v>
      </c>
      <c r="M9" s="7">
        <f>SUM('2002TQ'!F26:F37)+'2002TQ'!F25/30*1+'2002TQ'!F38/34*19</f>
        <v>2521.5666666666666</v>
      </c>
      <c r="N9" s="7">
        <f>SUM('2002TQ'!G26:G37)+'2002TQ'!G25/30*1+'2002TQ'!G38/34*19</f>
        <v>1098.2549019607843</v>
      </c>
      <c r="O9" s="7">
        <f>SUM(Tabla1[[#This Row],[Consumo anual P1 + P4]:[Consumo anual P2 + P5]])</f>
        <v>5303.6803921568626</v>
      </c>
      <c r="P9" s="7">
        <f>Tabla1[[#This Row],[Consumo anual P3 + P6]]</f>
        <v>1098.2549019607843</v>
      </c>
      <c r="Q9" s="7" t="s">
        <v>156</v>
      </c>
      <c r="R9" s="7" t="s">
        <v>156</v>
      </c>
      <c r="S9" s="7" t="s">
        <v>156</v>
      </c>
      <c r="T9" s="7" t="s">
        <v>156</v>
      </c>
      <c r="U9" s="7">
        <f>SUM(Tabla1[[#This Row],[Consumo anual P1]:[Consumo anual P6]])</f>
        <v>6401.9352941176467</v>
      </c>
    </row>
    <row r="10" spans="1:21">
      <c r="A10" s="28">
        <v>1700</v>
      </c>
      <c r="B10" s="20" t="s">
        <v>13</v>
      </c>
      <c r="C10" s="3" t="s">
        <v>214</v>
      </c>
      <c r="D10" s="15" t="s">
        <v>14</v>
      </c>
      <c r="E10" s="1" t="s">
        <v>9</v>
      </c>
      <c r="F10" s="13">
        <v>31.5</v>
      </c>
      <c r="G10" s="13">
        <v>31.5</v>
      </c>
      <c r="H10" s="13">
        <v>31.5</v>
      </c>
      <c r="I10" s="13">
        <v>31.5</v>
      </c>
      <c r="J10" s="13">
        <v>31.5</v>
      </c>
      <c r="K10" s="13">
        <v>31.5</v>
      </c>
      <c r="L10" s="7">
        <f>SUM('5002TJ'!E27:E38)</f>
        <v>12788</v>
      </c>
      <c r="M10" s="7">
        <f>SUM('5002TJ'!F27:F38)</f>
        <v>9572</v>
      </c>
      <c r="N10" s="7">
        <f>SUM('5002TJ'!G27:G38)</f>
        <v>12374</v>
      </c>
      <c r="O10" s="7">
        <f>SUM('5002TJ'!H27:H38)</f>
        <v>6741</v>
      </c>
      <c r="P10" s="7">
        <f>SUM('5002TJ'!I27:I38)</f>
        <v>7309</v>
      </c>
      <c r="Q10" s="7">
        <f>SUM('5002TJ'!J27:J38)</f>
        <v>2860.5173999999997</v>
      </c>
      <c r="R10" s="7">
        <f>SUM('5002TJ'!K27:K38)</f>
        <v>6047</v>
      </c>
      <c r="S10" s="7">
        <f>SUM('5002TJ'!L27:L38)</f>
        <v>2263</v>
      </c>
      <c r="T10" s="7">
        <f>SUM('5002TJ'!M27:M38)</f>
        <v>9513.4825999999994</v>
      </c>
      <c r="U10" s="7">
        <f>SUM(Tabla1[[#This Row],[Consumo anual P1]:[Consumo anual P6]])</f>
        <v>34734</v>
      </c>
    </row>
    <row r="11" spans="1:21">
      <c r="A11" s="29">
        <v>1702</v>
      </c>
      <c r="B11" s="27" t="s">
        <v>543</v>
      </c>
      <c r="C11" s="3" t="s">
        <v>205</v>
      </c>
      <c r="D11" s="15" t="s">
        <v>528</v>
      </c>
      <c r="E11" s="3" t="s">
        <v>526</v>
      </c>
      <c r="F11" s="14" t="s">
        <v>529</v>
      </c>
      <c r="G11" s="21" t="s">
        <v>529</v>
      </c>
      <c r="H11" s="21" t="s">
        <v>529</v>
      </c>
      <c r="I11" s="21" t="s">
        <v>529</v>
      </c>
      <c r="J11" s="21" t="s">
        <v>529</v>
      </c>
      <c r="K11" s="21" t="s">
        <v>529</v>
      </c>
      <c r="L11" s="7"/>
      <c r="M11" s="7"/>
      <c r="N11" s="7"/>
      <c r="O11" s="7">
        <v>4363</v>
      </c>
      <c r="P11" s="7">
        <v>3471</v>
      </c>
      <c r="Q11" s="7">
        <v>1682</v>
      </c>
      <c r="R11" s="7">
        <f>SUM(Tabla1[[#This Row],[Consumo anual P1 + P4]:[Consumo anual P3 + P6]])</f>
        <v>0</v>
      </c>
      <c r="S11" s="7"/>
      <c r="T11" s="7"/>
      <c r="U11" s="7">
        <f>SUM(Tabla1[[#This Row],[Consumo anual P1]:[Consumo anual P6]])</f>
        <v>9516</v>
      </c>
    </row>
    <row r="12" spans="1:21">
      <c r="A12" s="28">
        <v>806</v>
      </c>
      <c r="B12" s="3" t="s">
        <v>15</v>
      </c>
      <c r="C12" s="3" t="s">
        <v>215</v>
      </c>
      <c r="D12" s="15" t="s">
        <v>29</v>
      </c>
      <c r="E12" s="1" t="s">
        <v>9</v>
      </c>
      <c r="F12" s="13">
        <v>31.5</v>
      </c>
      <c r="G12" s="13">
        <v>31.5</v>
      </c>
      <c r="H12" s="13">
        <v>31.5</v>
      </c>
      <c r="I12" s="13">
        <v>31.5</v>
      </c>
      <c r="J12" s="13">
        <v>31.5</v>
      </c>
      <c r="K12" s="13">
        <v>31.5</v>
      </c>
      <c r="L12" s="7">
        <f>SUM('6001JF'!E27:E38)</f>
        <v>11990</v>
      </c>
      <c r="M12" s="7">
        <f>SUM('6001JF'!F27:F38)</f>
        <v>9666</v>
      </c>
      <c r="N12" s="7">
        <f>SUM('6001JF'!G27:G38)</f>
        <v>9414</v>
      </c>
      <c r="O12" s="7">
        <f>SUM('6001JF'!H27:H38)</f>
        <v>6290</v>
      </c>
      <c r="P12" s="7">
        <f>SUM('6001JF'!I27:I38)</f>
        <v>7513</v>
      </c>
      <c r="Q12" s="7">
        <f>SUM('6001JF'!J27:J38)</f>
        <v>2453.6666</v>
      </c>
      <c r="R12" s="7">
        <f>SUM('6001JF'!K27:K38)</f>
        <v>5700</v>
      </c>
      <c r="S12" s="7">
        <f>SUM('6001JF'!L27:L38)</f>
        <v>2153</v>
      </c>
      <c r="T12" s="7">
        <f>SUM('6001JF'!M27:M38)</f>
        <v>6960.3334000000004</v>
      </c>
      <c r="U12" s="7">
        <f>SUM(Tabla1[[#This Row],[Consumo anual P1]:[Consumo anual P6]])</f>
        <v>31070</v>
      </c>
    </row>
    <row r="13" spans="1:21">
      <c r="A13" s="29">
        <v>806</v>
      </c>
      <c r="B13" s="20" t="s">
        <v>159</v>
      </c>
      <c r="C13" s="3" t="s">
        <v>215</v>
      </c>
      <c r="D13" s="15" t="s">
        <v>160</v>
      </c>
      <c r="E13" s="1" t="s">
        <v>9</v>
      </c>
      <c r="F13" s="14">
        <v>31</v>
      </c>
      <c r="G13" s="14">
        <v>31</v>
      </c>
      <c r="H13" s="14">
        <v>31</v>
      </c>
      <c r="I13" s="14">
        <v>31</v>
      </c>
      <c r="J13" s="14">
        <v>31</v>
      </c>
      <c r="K13" s="14">
        <v>31</v>
      </c>
      <c r="L13" s="7">
        <f>SUM('8001CZ'!E27:E38)</f>
        <v>0</v>
      </c>
      <c r="M13" s="7">
        <f>SUM('8001CZ'!F27:F38)</f>
        <v>0</v>
      </c>
      <c r="N13" s="7">
        <f>SUM('8001CZ'!G27:G38)</f>
        <v>0</v>
      </c>
      <c r="O13" s="7">
        <f>SUM('8001CZ'!H27:H38)</f>
        <v>0</v>
      </c>
      <c r="P13" s="7">
        <f>SUM('8001CZ'!I27:I38)</f>
        <v>0</v>
      </c>
      <c r="Q13" s="7">
        <f>SUM('8001CZ'!J27:J38)</f>
        <v>0</v>
      </c>
      <c r="R13" s="7">
        <f>SUM('8001CZ'!K27:K38)</f>
        <v>0</v>
      </c>
      <c r="S13" s="7">
        <f>SUM('8001CZ'!L27:L38)</f>
        <v>0</v>
      </c>
      <c r="T13" s="7">
        <f>SUM('8001CZ'!M27:M38)</f>
        <v>0</v>
      </c>
      <c r="U13" s="7">
        <f>SUM(Tabla1[[#This Row],[Consumo anual P1]:[Consumo anual P6]])</f>
        <v>0</v>
      </c>
    </row>
    <row r="14" spans="1:21">
      <c r="A14" s="28">
        <v>800</v>
      </c>
      <c r="B14" s="3" t="s">
        <v>16</v>
      </c>
      <c r="C14" s="3" t="s">
        <v>216</v>
      </c>
      <c r="D14" s="15" t="s">
        <v>157</v>
      </c>
      <c r="E14" s="1" t="s">
        <v>9</v>
      </c>
      <c r="F14" s="14">
        <v>52</v>
      </c>
      <c r="G14" s="14">
        <v>52</v>
      </c>
      <c r="H14" s="14">
        <v>52</v>
      </c>
      <c r="I14" s="14">
        <v>52</v>
      </c>
      <c r="J14" s="14">
        <v>52</v>
      </c>
      <c r="K14" s="14">
        <v>52</v>
      </c>
      <c r="L14" s="7">
        <f>SUM('4001XZ'!E26:E38)</f>
        <v>10932</v>
      </c>
      <c r="M14" s="7">
        <f>SUM('4001XZ'!F26:F38)</f>
        <v>9059</v>
      </c>
      <c r="N14" s="7">
        <f>SUM('4001XZ'!G26:G38)</f>
        <v>16816</v>
      </c>
      <c r="O14" s="7">
        <f>SUM('4001XZ'!H26:H38)</f>
        <v>6964</v>
      </c>
      <c r="P14" s="7">
        <f>SUM('4001XZ'!I26:I38)</f>
        <v>7329</v>
      </c>
      <c r="Q14" s="7">
        <f>SUM('4001XZ'!J26:J38)</f>
        <v>2807.7429999999999</v>
      </c>
      <c r="R14" s="7">
        <f>SUM('4001XZ'!K26:K38)</f>
        <v>3968</v>
      </c>
      <c r="S14" s="7">
        <f>SUM('4001XZ'!L26:L38)</f>
        <v>1730</v>
      </c>
      <c r="T14" s="7">
        <f>SUM('4001XZ'!M26:M38)</f>
        <v>14008.257</v>
      </c>
      <c r="U14" s="7">
        <f>SUM(Tabla1[[#This Row],[Consumo anual P1]:[Consumo anual P6]])</f>
        <v>36807</v>
      </c>
    </row>
    <row r="15" spans="1:21">
      <c r="A15" s="29">
        <v>800</v>
      </c>
      <c r="B15" s="20" t="s">
        <v>17</v>
      </c>
      <c r="C15" s="3" t="s">
        <v>216</v>
      </c>
      <c r="D15" s="15" t="s">
        <v>18</v>
      </c>
      <c r="E15" s="1" t="s">
        <v>9</v>
      </c>
      <c r="F15" s="14">
        <v>50</v>
      </c>
      <c r="G15" s="14">
        <v>50</v>
      </c>
      <c r="H15" s="14">
        <v>50</v>
      </c>
      <c r="I15" s="14">
        <v>50</v>
      </c>
      <c r="J15" s="14">
        <v>50</v>
      </c>
      <c r="K15" s="14">
        <v>50</v>
      </c>
      <c r="L15" s="7">
        <f>SUM('2001GH'!E27:E38)</f>
        <v>5413</v>
      </c>
      <c r="M15" s="7">
        <f>SUM('2001GH'!F27:F38)</f>
        <v>3520</v>
      </c>
      <c r="N15" s="7">
        <f>SUM('2001GH'!G27:G38)</f>
        <v>4971</v>
      </c>
      <c r="O15" s="7">
        <f>SUM('2001GH'!H27:H38)</f>
        <v>3734</v>
      </c>
      <c r="P15" s="7">
        <f>SUM('2001GH'!I27:I38)</f>
        <v>2949</v>
      </c>
      <c r="Q15" s="7">
        <f>SUM('2001GH'!J27:J38)</f>
        <v>1035.5752</v>
      </c>
      <c r="R15" s="7">
        <f>SUM('2001GH'!K27:K38)</f>
        <v>1679</v>
      </c>
      <c r="S15" s="7">
        <f>SUM('2001GH'!L27:L38)</f>
        <v>571</v>
      </c>
      <c r="T15" s="7">
        <f>SUM('2001GH'!M27:M38)</f>
        <v>3935.4247999999998</v>
      </c>
      <c r="U15" s="7">
        <f>SUM(Tabla1[[#This Row],[Consumo anual P1]:[Consumo anual P6]])</f>
        <v>13904</v>
      </c>
    </row>
    <row r="16" spans="1:21">
      <c r="A16" s="28">
        <v>800</v>
      </c>
      <c r="B16" s="20" t="s">
        <v>20</v>
      </c>
      <c r="C16" s="3" t="s">
        <v>216</v>
      </c>
      <c r="D16" s="15" t="s">
        <v>19</v>
      </c>
      <c r="E16" s="1" t="s">
        <v>9</v>
      </c>
      <c r="F16" s="14">
        <v>70</v>
      </c>
      <c r="G16" s="14">
        <v>70</v>
      </c>
      <c r="H16" s="14">
        <v>70</v>
      </c>
      <c r="I16" s="14">
        <v>70</v>
      </c>
      <c r="J16" s="14">
        <v>70</v>
      </c>
      <c r="K16" s="14">
        <v>70</v>
      </c>
      <c r="L16" s="7">
        <f>SUM('7001PC'!E27:E38)</f>
        <v>23721</v>
      </c>
      <c r="M16" s="7">
        <f>SUM('7001PC'!F27:F38)</f>
        <v>18155</v>
      </c>
      <c r="N16" s="7">
        <f>SUM('7001PC'!G27:G38)</f>
        <v>20345</v>
      </c>
      <c r="O16" s="7">
        <f>SUM('7001PC'!H27:H38)</f>
        <v>13767</v>
      </c>
      <c r="P16" s="7">
        <f>SUM('7001PC'!I27:I38)</f>
        <v>14451</v>
      </c>
      <c r="Q16" s="7">
        <f>SUM('7001PC'!J27:J38)</f>
        <v>4161.5437999999995</v>
      </c>
      <c r="R16" s="7">
        <f>SUM('7001PC'!K27:K38)</f>
        <v>9954</v>
      </c>
      <c r="S16" s="7">
        <f>SUM('7001PC'!L27:L38)</f>
        <v>3704</v>
      </c>
      <c r="T16" s="7">
        <f>SUM('7001PC'!M27:M38)</f>
        <v>16183.456199999999</v>
      </c>
      <c r="U16" s="7">
        <f>SUM(Tabla1[[#This Row],[Consumo anual P1]:[Consumo anual P6]])</f>
        <v>62221</v>
      </c>
    </row>
    <row r="17" spans="1:21">
      <c r="A17" s="29">
        <v>804</v>
      </c>
      <c r="B17" s="20" t="s">
        <v>523</v>
      </c>
      <c r="C17" s="3" t="s">
        <v>524</v>
      </c>
      <c r="D17" s="15" t="s">
        <v>525</v>
      </c>
      <c r="E17" s="3" t="s">
        <v>526</v>
      </c>
      <c r="F17" s="21" t="s">
        <v>527</v>
      </c>
      <c r="G17" s="21" t="s">
        <v>527</v>
      </c>
      <c r="H17" s="21" t="s">
        <v>527</v>
      </c>
      <c r="I17" s="21" t="s">
        <v>527</v>
      </c>
      <c r="J17" s="21" t="s">
        <v>527</v>
      </c>
      <c r="K17" s="21" t="s">
        <v>527</v>
      </c>
      <c r="L17" s="7"/>
      <c r="M17" s="7"/>
      <c r="N17" s="7"/>
      <c r="O17" s="7"/>
      <c r="P17" s="7"/>
      <c r="Q17" s="7"/>
      <c r="R17" s="7">
        <f>SUM(Tabla1[[#This Row],[Consumo anual P1 + P4]:[Consumo anual P3 + P6]])</f>
        <v>0</v>
      </c>
      <c r="S17" s="7"/>
      <c r="T17" s="7"/>
      <c r="U17" s="7">
        <f>SUM(Tabla1[[#This Row],[Consumo anual P1]:[Consumo anual P6]])</f>
        <v>0</v>
      </c>
    </row>
    <row r="18" spans="1:21">
      <c r="A18" s="28">
        <v>802</v>
      </c>
      <c r="B18" s="3" t="s">
        <v>21</v>
      </c>
      <c r="C18" s="3" t="s">
        <v>217</v>
      </c>
      <c r="D18" s="15" t="s">
        <v>22</v>
      </c>
      <c r="E18" s="1" t="s">
        <v>9</v>
      </c>
      <c r="F18" s="14">
        <v>85</v>
      </c>
      <c r="G18" s="14">
        <v>85</v>
      </c>
      <c r="H18" s="14">
        <v>85</v>
      </c>
      <c r="I18" s="14">
        <v>85</v>
      </c>
      <c r="J18" s="14">
        <v>85</v>
      </c>
      <c r="K18" s="14">
        <v>85</v>
      </c>
      <c r="L18" s="7">
        <f>SUM('8001QN'!E27:E38)</f>
        <v>3655</v>
      </c>
      <c r="M18" s="7">
        <f>SUM('8001QN'!F27:F38)</f>
        <v>2660</v>
      </c>
      <c r="N18" s="7">
        <f>SUM('8001QN'!G27:G38)</f>
        <v>4296</v>
      </c>
      <c r="O18" s="7">
        <f>SUM('8001QN'!H27:H38)</f>
        <v>2176</v>
      </c>
      <c r="P18" s="7">
        <f>SUM('8001QN'!I27:I38)</f>
        <v>2186</v>
      </c>
      <c r="Q18" s="7">
        <f>SUM('8001QN'!J27:J38)</f>
        <v>953.25980000000004</v>
      </c>
      <c r="R18" s="7">
        <f>SUM('8001QN'!K27:K38)</f>
        <v>1479</v>
      </c>
      <c r="S18" s="7">
        <f>SUM('8001QN'!L27:L38)</f>
        <v>474</v>
      </c>
      <c r="T18" s="7">
        <f>SUM('8001QN'!M27:M38)</f>
        <v>3342.7402000000002</v>
      </c>
      <c r="U18" s="7">
        <f>SUM(Tabla1[[#This Row],[Consumo anual P1]:[Consumo anual P6]])</f>
        <v>10611</v>
      </c>
    </row>
    <row r="19" spans="1:21">
      <c r="A19" s="29">
        <v>802</v>
      </c>
      <c r="B19" s="20" t="s">
        <v>530</v>
      </c>
      <c r="C19" s="3" t="s">
        <v>217</v>
      </c>
      <c r="D19" s="15" t="s">
        <v>531</v>
      </c>
      <c r="E19" s="1" t="s">
        <v>9</v>
      </c>
      <c r="F19" s="21">
        <v>17.350000000000001</v>
      </c>
      <c r="G19" s="21">
        <v>17.350000000000001</v>
      </c>
      <c r="H19" s="21">
        <v>17.350000000000001</v>
      </c>
      <c r="I19" s="21">
        <v>17.350000000000001</v>
      </c>
      <c r="J19" s="21">
        <v>17.350000000000001</v>
      </c>
      <c r="K19" s="21">
        <v>17.350000000000001</v>
      </c>
      <c r="L19" s="7"/>
      <c r="M19" s="7"/>
      <c r="N19" s="7"/>
      <c r="O19" s="7"/>
      <c r="P19" s="7"/>
      <c r="Q19" s="7"/>
      <c r="R19" s="7">
        <f>SUM(Tabla1[[#This Row],[Consumo anual P1 + P4]:[Consumo anual P3 + P6]])</f>
        <v>0</v>
      </c>
      <c r="S19" s="7"/>
      <c r="T19" s="7"/>
      <c r="U19" s="7">
        <f>SUM(Tabla1[[#This Row],[Consumo anual P1]:[Consumo anual P6]])</f>
        <v>0</v>
      </c>
    </row>
    <row r="20" spans="1:21">
      <c r="A20" s="28">
        <v>807</v>
      </c>
      <c r="B20" s="3" t="s">
        <v>23</v>
      </c>
      <c r="C20" s="3" t="s">
        <v>218</v>
      </c>
      <c r="D20" s="15" t="s">
        <v>24</v>
      </c>
      <c r="E20" s="1" t="s">
        <v>9</v>
      </c>
      <c r="F20" s="14">
        <v>50</v>
      </c>
      <c r="G20" s="14">
        <v>50</v>
      </c>
      <c r="H20" s="14">
        <v>50</v>
      </c>
      <c r="I20" s="14">
        <v>50</v>
      </c>
      <c r="J20" s="14">
        <v>50</v>
      </c>
      <c r="K20" s="14">
        <v>50</v>
      </c>
      <c r="L20" s="7">
        <f>SUM('3001RN'!E27:E38)</f>
        <v>10116</v>
      </c>
      <c r="M20" s="7">
        <f>SUM('3001RN'!F27:F38)</f>
        <v>7915</v>
      </c>
      <c r="N20" s="7">
        <f>SUM('3001RN'!G27:G38)</f>
        <v>11912</v>
      </c>
      <c r="O20" s="7">
        <f>SUM('3001RN'!H27:H38)</f>
        <v>5994</v>
      </c>
      <c r="P20" s="7">
        <f>SUM('3001RN'!I27:I38)</f>
        <v>6279</v>
      </c>
      <c r="Q20" s="7">
        <f>SUM('3001RN'!J27:J38)</f>
        <v>2433.6134000000002</v>
      </c>
      <c r="R20" s="7">
        <f>SUM('3001RN'!K27:K38)</f>
        <v>4122</v>
      </c>
      <c r="S20" s="7">
        <f>SUM('3001RN'!L27:L38)</f>
        <v>1636</v>
      </c>
      <c r="T20" s="7">
        <f>SUM('3001RN'!M27:M38)</f>
        <v>9478.3865999999998</v>
      </c>
      <c r="U20" s="7">
        <f>SUM(Tabla1[[#This Row],[Consumo anual P1]:[Consumo anual P6]])</f>
        <v>29943</v>
      </c>
    </row>
    <row r="21" spans="1:21">
      <c r="A21" s="29">
        <v>812</v>
      </c>
      <c r="B21" s="3" t="s">
        <v>26</v>
      </c>
      <c r="C21" s="3" t="s">
        <v>212</v>
      </c>
      <c r="D21" s="15" t="s">
        <v>158</v>
      </c>
      <c r="E21" s="1" t="s">
        <v>9</v>
      </c>
      <c r="F21" s="13">
        <v>31.5</v>
      </c>
      <c r="G21" s="13">
        <v>31.5</v>
      </c>
      <c r="H21" s="13">
        <v>31.5</v>
      </c>
      <c r="I21" s="13">
        <v>31.5</v>
      </c>
      <c r="J21" s="13">
        <v>31.5</v>
      </c>
      <c r="K21" s="13">
        <v>31.5</v>
      </c>
      <c r="L21" s="7">
        <f>SUM('2001DA'!E27:E38)</f>
        <v>3505</v>
      </c>
      <c r="M21" s="7">
        <f>SUM('2001DA'!F27:F38)</f>
        <v>2480</v>
      </c>
      <c r="N21" s="7">
        <f>SUM('2001DA'!G27:G38)</f>
        <v>3664</v>
      </c>
      <c r="O21" s="7">
        <f>SUM('2001DA'!H27:H38)</f>
        <v>2055</v>
      </c>
      <c r="P21" s="7">
        <f>SUM('2001DA'!I27:I38)</f>
        <v>1963</v>
      </c>
      <c r="Q21" s="7">
        <f>SUM('2001DA'!J27:J38)</f>
        <v>780.48520000000008</v>
      </c>
      <c r="R21" s="7">
        <f>SUM('2001DA'!K27:K38)</f>
        <v>1419</v>
      </c>
      <c r="S21" s="7">
        <f>SUM('2001DA'!L27:L38)</f>
        <v>517</v>
      </c>
      <c r="T21" s="7">
        <f>SUM('2001DA'!M27:M38)</f>
        <v>2883.5147999999999</v>
      </c>
      <c r="U21" s="7">
        <f>SUM(Tabla1[[#This Row],[Consumo anual P1]:[Consumo anual P6]])</f>
        <v>9618</v>
      </c>
    </row>
    <row r="22" spans="1:21">
      <c r="A22" s="28">
        <v>803</v>
      </c>
      <c r="B22" s="3" t="s">
        <v>28</v>
      </c>
      <c r="C22" s="3" t="s">
        <v>219</v>
      </c>
      <c r="D22" s="15" t="s">
        <v>27</v>
      </c>
      <c r="E22" s="1" t="s">
        <v>9</v>
      </c>
      <c r="F22" s="14">
        <v>63</v>
      </c>
      <c r="G22" s="14">
        <v>63</v>
      </c>
      <c r="H22" s="14">
        <v>63</v>
      </c>
      <c r="I22" s="14">
        <v>63</v>
      </c>
      <c r="J22" s="14">
        <v>63</v>
      </c>
      <c r="K22" s="14">
        <v>63</v>
      </c>
      <c r="L22" s="7">
        <f>SUM('8001WP'!E27:E38)</f>
        <v>10481</v>
      </c>
      <c r="M22" s="7">
        <f>SUM('8001WP'!F27:F38)</f>
        <v>7819</v>
      </c>
      <c r="N22" s="7">
        <f>SUM('8001WP'!G27:G38)</f>
        <v>10242</v>
      </c>
      <c r="O22" s="7">
        <f>SUM('8001WP'!H27:H38)</f>
        <v>5846</v>
      </c>
      <c r="P22" s="7">
        <f>SUM('8001WP'!I27:I38)</f>
        <v>5979</v>
      </c>
      <c r="Q22" s="7">
        <f>SUM('8001WP'!J27:J38)</f>
        <v>2221.7462</v>
      </c>
      <c r="R22" s="7">
        <f>SUM('8001WP'!K27:K38)</f>
        <v>4635</v>
      </c>
      <c r="S22" s="7">
        <f>SUM('8001WP'!L27:L38)</f>
        <v>1840</v>
      </c>
      <c r="T22" s="7">
        <f>SUM('8001WP'!M27:M38)</f>
        <v>8020.2538000000004</v>
      </c>
      <c r="U22" s="7">
        <f>SUM(Tabla1[[#This Row],[Consumo anual P1]:[Consumo anual P6]])</f>
        <v>28542</v>
      </c>
    </row>
    <row r="23" spans="1:21">
      <c r="A23" s="29">
        <v>2400</v>
      </c>
      <c r="B23" s="20" t="s">
        <v>181</v>
      </c>
      <c r="C23" s="3" t="s">
        <v>165</v>
      </c>
      <c r="D23" s="15" t="s">
        <v>532</v>
      </c>
      <c r="E23" s="1" t="s">
        <v>25</v>
      </c>
      <c r="F23" s="21" t="s">
        <v>222</v>
      </c>
      <c r="G23" s="21" t="s">
        <v>222</v>
      </c>
      <c r="H23" s="13" t="s">
        <v>156</v>
      </c>
      <c r="I23" s="13" t="s">
        <v>156</v>
      </c>
      <c r="J23" s="13" t="s">
        <v>156</v>
      </c>
      <c r="K23" s="13" t="s">
        <v>156</v>
      </c>
      <c r="L23" s="7">
        <f>SUM('8633CD'!E26:E38)</f>
        <v>1997</v>
      </c>
      <c r="M23" s="7">
        <f>SUM('8633CD'!F26:F38)</f>
        <v>1612</v>
      </c>
      <c r="N23" s="7">
        <f>SUM('8633CD'!G26:G38)</f>
        <v>1722</v>
      </c>
      <c r="O23" s="7">
        <f>SUM(Tabla1[[#This Row],[Consumo anual P1 + P4]:[Consumo anual P2 + P5]])</f>
        <v>3609</v>
      </c>
      <c r="P23" s="7">
        <f>Tabla1[[#This Row],[Consumo anual P3 + P6]]</f>
        <v>1722</v>
      </c>
      <c r="Q23" s="7" t="s">
        <v>156</v>
      </c>
      <c r="R23" s="7" t="s">
        <v>156</v>
      </c>
      <c r="S23" s="7" t="s">
        <v>156</v>
      </c>
      <c r="T23" s="7" t="s">
        <v>156</v>
      </c>
      <c r="U23" s="7">
        <f>SUM(Tabla1[[#This Row],[Consumo anual P1]:[Consumo anual P6]])</f>
        <v>5331</v>
      </c>
    </row>
    <row r="24" spans="1:21">
      <c r="A24" s="28">
        <v>2800</v>
      </c>
      <c r="B24" s="20" t="s">
        <v>182</v>
      </c>
      <c r="C24" s="3" t="s">
        <v>166</v>
      </c>
      <c r="D24" s="15" t="s">
        <v>176</v>
      </c>
      <c r="E24" s="1" t="s">
        <v>9</v>
      </c>
      <c r="F24" s="21">
        <v>15.000999999999999</v>
      </c>
      <c r="G24" s="21">
        <v>15.000999999999999</v>
      </c>
      <c r="H24" s="21">
        <v>15.000999999999999</v>
      </c>
      <c r="I24" s="21">
        <v>15.000999999999999</v>
      </c>
      <c r="J24" s="21">
        <v>15.000999999999999</v>
      </c>
      <c r="K24" s="21">
        <v>15.000999999999999</v>
      </c>
      <c r="L24" s="7">
        <f>SUM('2452LT'!E26:E37)</f>
        <v>6138</v>
      </c>
      <c r="M24" s="7">
        <f>SUM('2452LT'!F26:F37)</f>
        <v>4869</v>
      </c>
      <c r="N24" s="7">
        <f>SUM('2452LT'!G26:G37)</f>
        <v>6152</v>
      </c>
      <c r="O24" s="7">
        <f>SUM('2452LT'!H26:H37)</f>
        <v>3414</v>
      </c>
      <c r="P24" s="7">
        <f>SUM('2452LT'!I26:I37)</f>
        <v>4051</v>
      </c>
      <c r="Q24" s="7">
        <f>SUM('2452LT'!J26:J37)</f>
        <v>1315.4874</v>
      </c>
      <c r="R24" s="7">
        <f>SUM('2452LT'!K26:K37)</f>
        <v>2724</v>
      </c>
      <c r="S24" s="7">
        <f>SUM('2452LT'!L26:L37)</f>
        <v>818</v>
      </c>
      <c r="T24" s="7">
        <f>SUM('2452LT'!M26:M37)</f>
        <v>4836.5126</v>
      </c>
      <c r="U24" s="7">
        <f>SUM(Tabla1[[#This Row],[Consumo anual P1]:[Consumo anual P6]])</f>
        <v>17159</v>
      </c>
    </row>
    <row r="25" spans="1:21">
      <c r="A25" s="29">
        <v>3000</v>
      </c>
      <c r="B25" s="20" t="s">
        <v>183</v>
      </c>
      <c r="C25" s="3" t="s">
        <v>167</v>
      </c>
      <c r="D25" s="15" t="s">
        <v>541</v>
      </c>
      <c r="E25" s="1" t="s">
        <v>25</v>
      </c>
      <c r="F25" s="21" t="s">
        <v>223</v>
      </c>
      <c r="G25" s="21" t="s">
        <v>223</v>
      </c>
      <c r="H25" s="13" t="s">
        <v>156</v>
      </c>
      <c r="I25" s="13" t="s">
        <v>156</v>
      </c>
      <c r="J25" s="13" t="s">
        <v>156</v>
      </c>
      <c r="K25" s="13" t="s">
        <v>156</v>
      </c>
      <c r="L25" s="7">
        <f>SUM('0192PH'!E24:E37)</f>
        <v>58</v>
      </c>
      <c r="M25" s="7">
        <f>SUM('0192PH'!F24:F37)</f>
        <v>57</v>
      </c>
      <c r="N25" s="7">
        <f>SUM('0192PH'!G24:G37)</f>
        <v>134</v>
      </c>
      <c r="O25" s="7">
        <f>SUM('0192PH'!H24:H37)</f>
        <v>115</v>
      </c>
      <c r="P25" s="7">
        <f>SUM('0192PH'!I24:I37)</f>
        <v>134</v>
      </c>
      <c r="Q25" s="7" t="s">
        <v>156</v>
      </c>
      <c r="R25" s="7" t="s">
        <v>156</v>
      </c>
      <c r="S25" s="7" t="s">
        <v>156</v>
      </c>
      <c r="T25" s="7" t="s">
        <v>156</v>
      </c>
      <c r="U25" s="7">
        <f>SUM(Tabla1[[#This Row],[Consumo anual P1]:[Consumo anual P6]])</f>
        <v>249</v>
      </c>
    </row>
    <row r="26" spans="1:21">
      <c r="A26" s="28">
        <v>4600</v>
      </c>
      <c r="B26" s="20" t="s">
        <v>184</v>
      </c>
      <c r="C26" s="3" t="s">
        <v>168</v>
      </c>
      <c r="D26" s="15" t="s">
        <v>177</v>
      </c>
      <c r="E26" s="1" t="s">
        <v>9</v>
      </c>
      <c r="F26" s="21" t="s">
        <v>224</v>
      </c>
      <c r="G26" s="21" t="s">
        <v>224</v>
      </c>
      <c r="H26" s="21" t="s">
        <v>224</v>
      </c>
      <c r="I26" s="21" t="s">
        <v>224</v>
      </c>
      <c r="J26" s="21" t="s">
        <v>224</v>
      </c>
      <c r="K26" s="21">
        <v>20.78</v>
      </c>
      <c r="L26" s="7">
        <f>SUM('4443XC'!E26:E39)</f>
        <v>1696</v>
      </c>
      <c r="M26" s="7">
        <f>SUM('4443XC'!F26:F39)</f>
        <v>1575</v>
      </c>
      <c r="N26" s="7">
        <f>SUM('4443XC'!G26:G39)</f>
        <v>1604</v>
      </c>
      <c r="O26" s="7">
        <f>SUM('4443XC'!H26:H39)</f>
        <v>1634</v>
      </c>
      <c r="P26" s="7">
        <f>SUM('4443XC'!I26:I39)</f>
        <v>1562</v>
      </c>
      <c r="Q26" s="7">
        <f>SUM('4443XC'!J26:J39)</f>
        <v>274.67219999999998</v>
      </c>
      <c r="R26" s="7">
        <f>SUM('4443XC'!K26:K39)</f>
        <v>62</v>
      </c>
      <c r="S26" s="7">
        <f>SUM('4443XC'!L26:L39)</f>
        <v>13</v>
      </c>
      <c r="T26" s="7">
        <f>SUM('4443XC'!M26:M39)</f>
        <v>1329.3278</v>
      </c>
      <c r="U26" s="7">
        <f>SUM(Tabla1[[#This Row],[Consumo anual P1]:[Consumo anual P6]])</f>
        <v>4875</v>
      </c>
    </row>
    <row r="27" spans="1:21">
      <c r="A27" s="29">
        <v>3600</v>
      </c>
      <c r="B27" s="20" t="s">
        <v>185</v>
      </c>
      <c r="C27" s="3" t="s">
        <v>169</v>
      </c>
      <c r="D27" s="15" t="s">
        <v>178</v>
      </c>
      <c r="E27" s="1" t="s">
        <v>25</v>
      </c>
      <c r="F27" s="21" t="s">
        <v>225</v>
      </c>
      <c r="G27" s="21" t="s">
        <v>225</v>
      </c>
      <c r="H27" s="13" t="s">
        <v>156</v>
      </c>
      <c r="I27" s="13" t="s">
        <v>156</v>
      </c>
      <c r="J27" s="13" t="s">
        <v>156</v>
      </c>
      <c r="K27" s="13" t="s">
        <v>156</v>
      </c>
      <c r="L27" s="7">
        <f>SUM('4536ZR'!E29:E41)</f>
        <v>2444</v>
      </c>
      <c r="M27" s="7">
        <f>SUM('4536ZR'!F29:F41)</f>
        <v>2091</v>
      </c>
      <c r="N27" s="7">
        <f>SUM('4536ZR'!G29:G41)</f>
        <v>1608</v>
      </c>
      <c r="O27" s="7">
        <f>SUM('4536ZR'!H29:H41)</f>
        <v>4535</v>
      </c>
      <c r="P27" s="7">
        <f>SUM('4536ZR'!I29:I41)</f>
        <v>1608</v>
      </c>
      <c r="Q27" s="7" t="s">
        <v>156</v>
      </c>
      <c r="R27" s="7" t="s">
        <v>156</v>
      </c>
      <c r="S27" s="7" t="s">
        <v>156</v>
      </c>
      <c r="T27" s="7" t="s">
        <v>156</v>
      </c>
      <c r="U27" s="7">
        <f>SUM(Tabla1[[#This Row],[Consumo anual P1]:[Consumo anual P6]])</f>
        <v>6143</v>
      </c>
    </row>
    <row r="28" spans="1:21">
      <c r="A28" s="28">
        <v>1500</v>
      </c>
      <c r="B28" s="20" t="s">
        <v>186</v>
      </c>
      <c r="C28" s="3" t="s">
        <v>170</v>
      </c>
      <c r="D28" s="15" t="s">
        <v>179</v>
      </c>
      <c r="E28" s="1" t="s">
        <v>25</v>
      </c>
      <c r="F28" s="14">
        <v>15</v>
      </c>
      <c r="G28" s="14">
        <v>15</v>
      </c>
      <c r="H28" s="13" t="s">
        <v>156</v>
      </c>
      <c r="I28" s="13" t="s">
        <v>156</v>
      </c>
      <c r="J28" s="13" t="s">
        <v>156</v>
      </c>
      <c r="K28" s="13" t="s">
        <v>156</v>
      </c>
      <c r="L28" s="7">
        <f>SUM('7189PW'!E30:E42)</f>
        <v>3069</v>
      </c>
      <c r="M28" s="7">
        <f>SUM('7189PW'!F30:F42)</f>
        <v>2691</v>
      </c>
      <c r="N28" s="7">
        <f>SUM('7189PW'!G30:G42)</f>
        <v>2240</v>
      </c>
      <c r="O28" s="7">
        <f>SUM('7189PW'!H30:H42)</f>
        <v>5760</v>
      </c>
      <c r="P28" s="7">
        <f>SUM('7189PW'!I30:I42)</f>
        <v>2240</v>
      </c>
      <c r="Q28" s="7" t="s">
        <v>156</v>
      </c>
      <c r="R28" s="7" t="s">
        <v>156</v>
      </c>
      <c r="S28" s="7" t="s">
        <v>156</v>
      </c>
      <c r="T28" s="7" t="s">
        <v>156</v>
      </c>
      <c r="U28" s="7">
        <f>SUM(Tabla1[[#This Row],[Consumo anual P1]:[Consumo anual P6]])</f>
        <v>8000</v>
      </c>
    </row>
    <row r="29" spans="1:21">
      <c r="A29" s="29">
        <v>3300</v>
      </c>
      <c r="B29" s="20" t="s">
        <v>187</v>
      </c>
      <c r="C29" s="3" t="s">
        <v>171</v>
      </c>
      <c r="D29" s="15" t="s">
        <v>533</v>
      </c>
      <c r="E29" s="1" t="s">
        <v>9</v>
      </c>
      <c r="F29" s="13">
        <v>29.6</v>
      </c>
      <c r="G29" s="13">
        <v>29.6</v>
      </c>
      <c r="H29" s="13">
        <v>29.6</v>
      </c>
      <c r="I29" s="13">
        <v>29.6</v>
      </c>
      <c r="J29" s="13">
        <v>29.6</v>
      </c>
      <c r="K29" s="13">
        <v>29.6</v>
      </c>
      <c r="L29" s="7">
        <f>SUM('8334SA'!E28:E39)</f>
        <v>2825</v>
      </c>
      <c r="M29" s="7">
        <f>SUM('8334SA'!F28:F39)</f>
        <v>2260</v>
      </c>
      <c r="N29" s="7">
        <f>SUM('8334SA'!G28:G39)</f>
        <v>3657</v>
      </c>
      <c r="O29" s="7">
        <f>SUM('8334SA'!H28:H39)</f>
        <v>1602</v>
      </c>
      <c r="P29" s="7">
        <f>SUM('8334SA'!I28:I39)</f>
        <v>1772</v>
      </c>
      <c r="Q29" s="7">
        <f>SUM('8334SA'!J28:J39)</f>
        <v>665.44900000000007</v>
      </c>
      <c r="R29" s="7">
        <f>SUM('8334SA'!K28:K39)</f>
        <v>1223</v>
      </c>
      <c r="S29" s="7">
        <f>SUM('8334SA'!L28:L39)</f>
        <v>488</v>
      </c>
      <c r="T29" s="7">
        <f>SUM('8334SA'!M28:M39)</f>
        <v>2991.5509999999995</v>
      </c>
      <c r="U29" s="7">
        <f>SUM(Tabla1[[#This Row],[Consumo anual P1]:[Consumo anual P6]])</f>
        <v>8742</v>
      </c>
    </row>
    <row r="30" spans="1:21">
      <c r="A30" s="28">
        <v>2900</v>
      </c>
      <c r="B30" s="20" t="s">
        <v>188</v>
      </c>
      <c r="C30" s="3" t="s">
        <v>172</v>
      </c>
      <c r="D30" s="15" t="s">
        <v>535</v>
      </c>
      <c r="E30" s="1" t="s">
        <v>9</v>
      </c>
      <c r="F30" s="21">
        <v>19.72</v>
      </c>
      <c r="G30" s="21">
        <v>19.72</v>
      </c>
      <c r="H30" s="21">
        <v>19.72</v>
      </c>
      <c r="I30" s="21">
        <v>19.72</v>
      </c>
      <c r="J30" s="21">
        <v>19.72</v>
      </c>
      <c r="K30" s="21">
        <v>19.72</v>
      </c>
      <c r="L30" s="7">
        <f>SUM('2034VC'!E27:E38)</f>
        <v>1930</v>
      </c>
      <c r="M30" s="7">
        <f>SUM('2034VC'!F27:F38)</f>
        <v>1407</v>
      </c>
      <c r="N30" s="7">
        <f>SUM('2034VC'!G27:G38)</f>
        <v>3129</v>
      </c>
      <c r="O30" s="7">
        <f>SUM('2034VC'!H27:H38)</f>
        <v>842</v>
      </c>
      <c r="P30" s="7">
        <f>SUM('2034VC'!I27:I38)</f>
        <v>984</v>
      </c>
      <c r="Q30" s="7">
        <f>SUM('2034VC'!J27:J38)</f>
        <v>625.2604</v>
      </c>
      <c r="R30" s="7">
        <f>SUM('2034VC'!K27:K38)</f>
        <v>1088</v>
      </c>
      <c r="S30" s="7">
        <f>SUM('2034VC'!L27:L38)</f>
        <v>423</v>
      </c>
      <c r="T30" s="7">
        <f>SUM('2034VC'!M27:M38)</f>
        <v>2503.7396000000003</v>
      </c>
      <c r="U30" s="7">
        <f>SUM(Tabla1[[#This Row],[Consumo anual P1]:[Consumo anual P6]])</f>
        <v>6466</v>
      </c>
    </row>
    <row r="31" spans="1:21">
      <c r="A31" s="29">
        <v>1800</v>
      </c>
      <c r="B31" s="20" t="s">
        <v>189</v>
      </c>
      <c r="C31" s="3" t="s">
        <v>173</v>
      </c>
      <c r="D31" s="15" t="s">
        <v>536</v>
      </c>
      <c r="E31" s="3" t="s">
        <v>25</v>
      </c>
      <c r="F31" s="21">
        <v>3.464</v>
      </c>
      <c r="G31" s="21">
        <v>3.464</v>
      </c>
      <c r="H31" s="21" t="s">
        <v>156</v>
      </c>
      <c r="I31" s="21" t="s">
        <v>156</v>
      </c>
      <c r="J31" s="21" t="s">
        <v>156</v>
      </c>
      <c r="K31" s="21" t="s">
        <v>156</v>
      </c>
      <c r="L31" s="7">
        <f>SUM('4021XW'!E26:E38)</f>
        <v>631</v>
      </c>
      <c r="M31" s="7">
        <f>SUM('4021XW'!F26:F38)</f>
        <v>455</v>
      </c>
      <c r="N31" s="7">
        <f>SUM('4021XW'!G26:G38)</f>
        <v>754</v>
      </c>
      <c r="O31" s="7">
        <f>SUM('4021XW'!H26:H38)</f>
        <v>1086</v>
      </c>
      <c r="P31" s="7">
        <f>SUM('4021XW'!I26:I38)</f>
        <v>754</v>
      </c>
      <c r="Q31" s="7" t="s">
        <v>156</v>
      </c>
      <c r="R31" s="7" t="s">
        <v>156</v>
      </c>
      <c r="S31" s="7" t="s">
        <v>156</v>
      </c>
      <c r="T31" s="7" t="s">
        <v>156</v>
      </c>
      <c r="U31" s="7">
        <f>SUM(Tabla1[[#This Row],[Consumo anual P1]:[Consumo anual P6]])</f>
        <v>1840</v>
      </c>
    </row>
    <row r="32" spans="1:21">
      <c r="A32" s="28">
        <v>1400</v>
      </c>
      <c r="B32" s="20" t="s">
        <v>190</v>
      </c>
      <c r="C32" s="3" t="s">
        <v>174</v>
      </c>
      <c r="D32" s="15" t="s">
        <v>534</v>
      </c>
      <c r="E32" s="1" t="s">
        <v>9</v>
      </c>
      <c r="F32" s="21">
        <v>49.73</v>
      </c>
      <c r="G32" s="21">
        <v>49.73</v>
      </c>
      <c r="H32" s="21">
        <v>49.73</v>
      </c>
      <c r="I32" s="21">
        <v>49.73</v>
      </c>
      <c r="J32" s="21">
        <v>49.73</v>
      </c>
      <c r="K32" s="21">
        <v>49.73</v>
      </c>
      <c r="L32" s="7">
        <f>SUM('9001TT'!E27:E38)</f>
        <v>8343</v>
      </c>
      <c r="M32" s="7">
        <f>SUM('9001TT'!F27:F38)</f>
        <v>4391</v>
      </c>
      <c r="N32" s="7">
        <f>SUM('9001TT'!G27:G38)</f>
        <v>7282</v>
      </c>
      <c r="O32" s="7">
        <f>SUM('9001TT'!H27:H38)</f>
        <v>5021</v>
      </c>
      <c r="P32" s="7">
        <f>SUM('9001TT'!I27:I38)</f>
        <v>3535</v>
      </c>
      <c r="Q32" s="7">
        <f>SUM('9001TT'!J27:J38)</f>
        <v>1848.1301999999998</v>
      </c>
      <c r="R32" s="7">
        <f>SUM('9001TT'!K27:K38)</f>
        <v>3322</v>
      </c>
      <c r="S32" s="7">
        <f>SUM('9001TT'!L27:L38)</f>
        <v>831</v>
      </c>
      <c r="T32" s="7">
        <f>SUM('9001TT'!M27:M38)</f>
        <v>5433.8698000000004</v>
      </c>
      <c r="U32" s="7">
        <f>SUM(Tabla1[[#This Row],[Consumo anual P1]:[Consumo anual P6]])</f>
        <v>19991</v>
      </c>
    </row>
    <row r="33" spans="1:21">
      <c r="A33" s="29">
        <v>810</v>
      </c>
      <c r="B33" s="20" t="s">
        <v>191</v>
      </c>
      <c r="C33" s="3" t="s">
        <v>175</v>
      </c>
      <c r="D33" s="15" t="s">
        <v>180</v>
      </c>
      <c r="E33" s="3" t="s">
        <v>25</v>
      </c>
      <c r="F33" s="21">
        <v>10</v>
      </c>
      <c r="G33" s="21">
        <v>10</v>
      </c>
      <c r="H33" s="13" t="s">
        <v>156</v>
      </c>
      <c r="I33" s="13" t="s">
        <v>156</v>
      </c>
      <c r="J33" s="13" t="s">
        <v>156</v>
      </c>
      <c r="K33" s="13" t="s">
        <v>156</v>
      </c>
      <c r="L33" s="7">
        <f>SUM('5009EN'!E26:E38)</f>
        <v>1807</v>
      </c>
      <c r="M33" s="7">
        <f>SUM('5009EN'!F26:F38)</f>
        <v>1552</v>
      </c>
      <c r="N33" s="7">
        <f>SUM('5009EN'!G26:G38)</f>
        <v>1221</v>
      </c>
      <c r="O33" s="7">
        <f>SUM('5009EN'!H26:H38)</f>
        <v>3359</v>
      </c>
      <c r="P33" s="7">
        <f>SUM('5009EN'!I26:I38)</f>
        <v>1221</v>
      </c>
      <c r="Q33" s="7" t="s">
        <v>156</v>
      </c>
      <c r="R33" s="7" t="s">
        <v>156</v>
      </c>
      <c r="S33" s="7" t="s">
        <v>156</v>
      </c>
      <c r="T33" s="7" t="s">
        <v>156</v>
      </c>
      <c r="U33" s="7">
        <f>SUM(Tabla1[[#This Row],[Consumo anual P1]:[Consumo anual P6]])</f>
        <v>4580</v>
      </c>
    </row>
    <row r="34" spans="1:21">
      <c r="A34" s="28">
        <v>809</v>
      </c>
      <c r="B34" s="20" t="s">
        <v>193</v>
      </c>
      <c r="C34" s="3" t="s">
        <v>220</v>
      </c>
      <c r="D34" s="15" t="s">
        <v>192</v>
      </c>
      <c r="E34" s="3" t="s">
        <v>25</v>
      </c>
      <c r="F34" s="21">
        <v>10</v>
      </c>
      <c r="G34" s="21">
        <v>10</v>
      </c>
      <c r="H34" s="13" t="s">
        <v>156</v>
      </c>
      <c r="I34" s="13" t="s">
        <v>156</v>
      </c>
      <c r="J34" s="13" t="s">
        <v>156</v>
      </c>
      <c r="K34" s="13" t="s">
        <v>156</v>
      </c>
      <c r="L34" s="7">
        <f>SUM('9014LW'!E26:E38)</f>
        <v>2994</v>
      </c>
      <c r="M34" s="7">
        <f>SUM('9014LW'!F26:F38)</f>
        <v>2823</v>
      </c>
      <c r="N34" s="7">
        <f>SUM('9014LW'!G26:G38)</f>
        <v>1904</v>
      </c>
      <c r="O34" s="7">
        <f>SUM('9014LW'!H26:H38)</f>
        <v>5817</v>
      </c>
      <c r="P34" s="7">
        <f>SUM('9014LW'!I26:I38)</f>
        <v>1904</v>
      </c>
      <c r="Q34" s="7" t="s">
        <v>156</v>
      </c>
      <c r="R34" s="7" t="s">
        <v>156</v>
      </c>
      <c r="S34" s="7" t="s">
        <v>156</v>
      </c>
      <c r="T34" s="7" t="s">
        <v>156</v>
      </c>
      <c r="U34" s="7">
        <f>SUM(Tabla1[[#This Row],[Consumo anual P1]:[Consumo anual P6]])</f>
        <v>7721</v>
      </c>
    </row>
    <row r="35" spans="1:21">
      <c r="A35" s="29">
        <v>2500</v>
      </c>
      <c r="B35" s="20" t="s">
        <v>196</v>
      </c>
      <c r="C35" s="3" t="s">
        <v>194</v>
      </c>
      <c r="D35" s="15" t="s">
        <v>537</v>
      </c>
      <c r="E35" s="1" t="s">
        <v>9</v>
      </c>
      <c r="F35" s="21">
        <v>25</v>
      </c>
      <c r="G35" s="21">
        <v>25</v>
      </c>
      <c r="H35" s="21">
        <v>25</v>
      </c>
      <c r="I35" s="21">
        <v>25</v>
      </c>
      <c r="J35" s="21">
        <v>25</v>
      </c>
      <c r="K35" s="21">
        <v>25</v>
      </c>
      <c r="L35" s="7">
        <f>SUM('9001DR'!E28:E39)</f>
        <v>1559</v>
      </c>
      <c r="M35" s="7">
        <f>SUM('9001DR'!F28:F39)</f>
        <v>1075</v>
      </c>
      <c r="N35" s="7">
        <f>SUM('9001DR'!G28:G39)</f>
        <v>1745</v>
      </c>
      <c r="O35" s="7">
        <f>SUM('9001DR'!H28:H39)</f>
        <v>1119</v>
      </c>
      <c r="P35" s="7">
        <f>SUM('9001DR'!I28:I39)</f>
        <v>911</v>
      </c>
      <c r="Q35" s="7">
        <f>SUM('9001DR'!J28:J39)</f>
        <v>298.13480000000004</v>
      </c>
      <c r="R35" s="7">
        <f>SUM('9001DR'!K28:K39)</f>
        <v>427</v>
      </c>
      <c r="S35" s="7">
        <f>SUM('9001DR'!L28:L39)</f>
        <v>109</v>
      </c>
      <c r="T35" s="7">
        <f>SUM('9001DR'!M28:M39)</f>
        <v>1446.8652000000002</v>
      </c>
      <c r="U35" s="7">
        <f>SUM(Tabla1[[#This Row],[Consumo anual P1]:[Consumo anual P6]])</f>
        <v>4311</v>
      </c>
    </row>
    <row r="36" spans="1:21">
      <c r="A36" s="28">
        <v>4300</v>
      </c>
      <c r="B36" s="20" t="s">
        <v>197</v>
      </c>
      <c r="C36" s="3" t="s">
        <v>195</v>
      </c>
      <c r="D36" s="15" t="s">
        <v>198</v>
      </c>
      <c r="E36" s="1" t="s">
        <v>9</v>
      </c>
      <c r="F36" s="21">
        <v>25</v>
      </c>
      <c r="G36" s="21">
        <v>25</v>
      </c>
      <c r="H36" s="21">
        <v>25</v>
      </c>
      <c r="I36" s="21">
        <v>25</v>
      </c>
      <c r="J36" s="21">
        <v>25</v>
      </c>
      <c r="K36" s="21">
        <v>25</v>
      </c>
      <c r="L36" s="7">
        <f>SUM('3021YT'!E25:E38)</f>
        <v>846</v>
      </c>
      <c r="M36" s="7">
        <f>SUM('3021YT'!F25:F38)</f>
        <v>948</v>
      </c>
      <c r="N36" s="7">
        <f>SUM('3021YT'!G25:G38)</f>
        <v>943</v>
      </c>
      <c r="O36" s="7">
        <f>SUM('3021YT'!H25:H38)</f>
        <v>271</v>
      </c>
      <c r="P36" s="7">
        <f>SUM('3021YT'!I25:I38)</f>
        <v>770</v>
      </c>
      <c r="Q36" s="7">
        <f>SUM('3021YT'!J25:J38)</f>
        <v>524.77420000000006</v>
      </c>
      <c r="R36" s="7">
        <f>SUM('3021YT'!K25:K38)</f>
        <v>575</v>
      </c>
      <c r="S36" s="7">
        <f>SUM('3021YT'!L25:L38)</f>
        <v>178</v>
      </c>
      <c r="T36" s="7">
        <f>SUM('3021YT'!M25:M38)</f>
        <v>418.22580000000016</v>
      </c>
      <c r="U36" s="7">
        <f>SUM(Tabla1[[#This Row],[Consumo anual P1]:[Consumo anual P6]])</f>
        <v>2737</v>
      </c>
    </row>
    <row r="37" spans="1:21">
      <c r="A37" s="29">
        <v>2501</v>
      </c>
      <c r="B37" s="20" t="s">
        <v>199</v>
      </c>
      <c r="C37" s="3" t="s">
        <v>221</v>
      </c>
      <c r="D37" s="15" t="s">
        <v>538</v>
      </c>
      <c r="E37" s="1" t="s">
        <v>9</v>
      </c>
      <c r="F37" s="21">
        <v>20</v>
      </c>
      <c r="G37" s="21">
        <v>20</v>
      </c>
      <c r="H37" s="21">
        <v>20</v>
      </c>
      <c r="I37" s="21">
        <v>20</v>
      </c>
      <c r="J37" s="21">
        <v>20</v>
      </c>
      <c r="K37" s="21">
        <v>20</v>
      </c>
      <c r="L37" s="7">
        <f>SUM('9012KD'!E26:E37)</f>
        <v>3211</v>
      </c>
      <c r="M37" s="7">
        <f>SUM('9012KD'!F26:F37)</f>
        <v>2776</v>
      </c>
      <c r="N37" s="7">
        <f>SUM('9012KD'!G26:G37)</f>
        <v>3945</v>
      </c>
      <c r="O37" s="7">
        <f>SUM('9012KD'!H26:H37)</f>
        <v>1760</v>
      </c>
      <c r="P37" s="7">
        <f>SUM('9012KD'!I26:I37)</f>
        <v>2258</v>
      </c>
      <c r="Q37" s="7">
        <f>SUM('9012KD'!J26:J37)</f>
        <v>752.08600000000001</v>
      </c>
      <c r="R37" s="7">
        <f>SUM('9012KD'!K26:K37)</f>
        <v>1451</v>
      </c>
      <c r="S37" s="7">
        <f>SUM('9012KD'!L26:L37)</f>
        <v>518</v>
      </c>
      <c r="T37" s="7">
        <f>SUM('9012KD'!M26:M37)</f>
        <v>3192.9139999999993</v>
      </c>
      <c r="U37" s="7">
        <f>SUM(Tabla1[[#This Row],[Consumo anual P1]:[Consumo anual P6]])</f>
        <v>9932</v>
      </c>
    </row>
    <row r="38" spans="1:21">
      <c r="A38" s="28">
        <v>813</v>
      </c>
      <c r="B38" s="20" t="s">
        <v>200</v>
      </c>
      <c r="C38" s="3" t="s">
        <v>201</v>
      </c>
      <c r="D38" s="15" t="s">
        <v>202</v>
      </c>
      <c r="E38" s="3" t="s">
        <v>25</v>
      </c>
      <c r="F38" s="21">
        <v>9.1999999999999993</v>
      </c>
      <c r="G38" s="21">
        <v>9.1999999999999993</v>
      </c>
      <c r="H38" s="13" t="s">
        <v>156</v>
      </c>
      <c r="I38" s="13" t="s">
        <v>156</v>
      </c>
      <c r="J38" s="13" t="s">
        <v>156</v>
      </c>
      <c r="K38" s="13" t="s">
        <v>156</v>
      </c>
      <c r="L38" s="7">
        <f>SUM('6034XG'!E26:E38)</f>
        <v>2876</v>
      </c>
      <c r="M38" s="7">
        <f>SUM('6034XG'!F26:F38)</f>
        <v>2171</v>
      </c>
      <c r="N38" s="7">
        <f>SUM('6034XG'!G26:G38)</f>
        <v>1640</v>
      </c>
      <c r="O38" s="7">
        <f>SUM('6034XG'!H26:H38)</f>
        <v>5047</v>
      </c>
      <c r="P38" s="7">
        <f>SUM('6034XG'!I26:I38)</f>
        <v>1640</v>
      </c>
      <c r="Q38" s="7" t="s">
        <v>156</v>
      </c>
      <c r="R38" s="7" t="s">
        <v>156</v>
      </c>
      <c r="S38" s="7" t="s">
        <v>156</v>
      </c>
      <c r="T38" s="7" t="s">
        <v>156</v>
      </c>
      <c r="U38" s="7">
        <f>SUM(Tabla1[[#This Row],[Consumo anual P1]:[Consumo anual P6]])</f>
        <v>6687</v>
      </c>
    </row>
    <row r="39" spans="1:21">
      <c r="A39" s="29">
        <v>701</v>
      </c>
      <c r="B39" s="20" t="s">
        <v>209</v>
      </c>
      <c r="C39" s="3" t="s">
        <v>204</v>
      </c>
      <c r="D39" s="15" t="s">
        <v>539</v>
      </c>
      <c r="E39" s="3" t="s">
        <v>25</v>
      </c>
      <c r="F39" s="21">
        <v>5.6</v>
      </c>
      <c r="G39" s="21">
        <v>5.6</v>
      </c>
      <c r="H39" s="13" t="s">
        <v>156</v>
      </c>
      <c r="I39" s="13" t="s">
        <v>156</v>
      </c>
      <c r="J39" s="13" t="s">
        <v>156</v>
      </c>
      <c r="K39" s="13" t="s">
        <v>156</v>
      </c>
      <c r="L39" s="7">
        <f>SUM('3003KX'!E27:E38)</f>
        <v>1409</v>
      </c>
      <c r="M39" s="7">
        <f>SUM('3003KX'!F27:F38)</f>
        <v>948</v>
      </c>
      <c r="N39" s="7">
        <f>SUM('3003KX'!G27:G38)</f>
        <v>1091</v>
      </c>
      <c r="O39" s="7">
        <f>SUM('3003KX'!H27:H38)</f>
        <v>2357</v>
      </c>
      <c r="P39" s="7">
        <f>SUM('3003KX'!I27:I38)</f>
        <v>1091</v>
      </c>
      <c r="Q39" s="7" t="s">
        <v>156</v>
      </c>
      <c r="R39" s="7" t="s">
        <v>156</v>
      </c>
      <c r="S39" s="7" t="s">
        <v>156</v>
      </c>
      <c r="T39" s="7" t="s">
        <v>156</v>
      </c>
      <c r="U39" s="7">
        <f>SUM(Tabla1[[#This Row],[Consumo anual P1]:[Consumo anual P6]])</f>
        <v>3448</v>
      </c>
    </row>
    <row r="40" spans="1:21">
      <c r="A40" s="28">
        <v>4700</v>
      </c>
      <c r="B40" s="20" t="s">
        <v>210</v>
      </c>
      <c r="C40" s="3" t="s">
        <v>206</v>
      </c>
      <c r="D40" s="15" t="s">
        <v>208</v>
      </c>
      <c r="E40" s="3" t="s">
        <v>25</v>
      </c>
      <c r="F40" s="21">
        <v>10.35</v>
      </c>
      <c r="G40" s="21">
        <v>10.35</v>
      </c>
      <c r="H40" s="21" t="s">
        <v>156</v>
      </c>
      <c r="I40" s="21" t="s">
        <v>156</v>
      </c>
      <c r="J40" s="21" t="s">
        <v>156</v>
      </c>
      <c r="K40" s="21" t="s">
        <v>156</v>
      </c>
      <c r="L40" s="7">
        <f>SUM('1307LV'!E27:E38)</f>
        <v>2592</v>
      </c>
      <c r="M40" s="7">
        <f>SUM('1307LV'!F27:F38)</f>
        <v>1917</v>
      </c>
      <c r="N40" s="7">
        <f>SUM('1307LV'!G27:G38)</f>
        <v>1618</v>
      </c>
      <c r="O40" s="7">
        <f>SUM('1307LV'!H27:H38)</f>
        <v>4509</v>
      </c>
      <c r="P40" s="7">
        <f>SUM('1307LV'!I27:I38)</f>
        <v>1618</v>
      </c>
      <c r="Q40" s="7" t="s">
        <v>156</v>
      </c>
      <c r="R40" s="7" t="s">
        <v>156</v>
      </c>
      <c r="S40" s="7" t="s">
        <v>156</v>
      </c>
      <c r="T40" s="7" t="s">
        <v>156</v>
      </c>
      <c r="U40" s="7">
        <f>SUM(Tabla1[[#This Row],[Consumo anual P1]:[Consumo anual P6]])</f>
        <v>6127</v>
      </c>
    </row>
    <row r="41" spans="1:21">
      <c r="A41" s="29">
        <v>700</v>
      </c>
      <c r="B41" s="20" t="s">
        <v>211</v>
      </c>
      <c r="C41" s="3" t="s">
        <v>207</v>
      </c>
      <c r="D41" s="15" t="s">
        <v>540</v>
      </c>
      <c r="E41" s="3" t="s">
        <v>25</v>
      </c>
      <c r="F41" s="21">
        <v>14.2</v>
      </c>
      <c r="G41" s="21">
        <v>14.2</v>
      </c>
      <c r="H41" s="21" t="s">
        <v>156</v>
      </c>
      <c r="I41" s="21" t="s">
        <v>156</v>
      </c>
      <c r="J41" s="21" t="s">
        <v>156</v>
      </c>
      <c r="K41" s="21" t="s">
        <v>156</v>
      </c>
      <c r="L41" s="7">
        <f>SUM('3001NQ'!E27:E39)</f>
        <v>4950</v>
      </c>
      <c r="M41" s="7">
        <f>SUM('3001NQ'!F27:F39)</f>
        <v>4297</v>
      </c>
      <c r="N41" s="7">
        <f>SUM('3001NQ'!G27:G39)</f>
        <v>3684</v>
      </c>
      <c r="O41" s="7">
        <f>SUM('3001NQ'!H27:H39)</f>
        <v>9247</v>
      </c>
      <c r="P41" s="7">
        <f>SUM('3001NQ'!I27:I39)</f>
        <v>3684</v>
      </c>
      <c r="Q41" s="7" t="s">
        <v>156</v>
      </c>
      <c r="R41" s="7" t="s">
        <v>156</v>
      </c>
      <c r="S41" s="7" t="s">
        <v>156</v>
      </c>
      <c r="T41" s="7" t="s">
        <v>156</v>
      </c>
      <c r="U41" s="7">
        <f>SUM(Tabla1[[#This Row],[Consumo anual P1]:[Consumo anual P6]])</f>
        <v>12931</v>
      </c>
    </row>
    <row r="42" spans="1:21">
      <c r="A42" s="28"/>
      <c r="B42" s="20" t="s">
        <v>545</v>
      </c>
      <c r="C42" s="3" t="s">
        <v>544</v>
      </c>
      <c r="D42" s="30" t="s">
        <v>546</v>
      </c>
      <c r="E42" s="33" t="s">
        <v>547</v>
      </c>
      <c r="F42" s="31">
        <v>27.712</v>
      </c>
      <c r="G42" s="31">
        <v>27.712</v>
      </c>
      <c r="H42" s="31">
        <v>27.712</v>
      </c>
      <c r="I42" s="31">
        <v>27.712</v>
      </c>
      <c r="J42" s="31">
        <v>27.712</v>
      </c>
      <c r="K42" s="31">
        <v>27.712</v>
      </c>
      <c r="L42" s="32"/>
      <c r="M42" s="32"/>
      <c r="N42" s="32"/>
      <c r="O42" s="32">
        <f>3144-1515</f>
        <v>1629</v>
      </c>
      <c r="P42" s="32">
        <f>2305-1299</f>
        <v>1006</v>
      </c>
      <c r="Q42" s="32">
        <v>854</v>
      </c>
      <c r="R42" s="32">
        <v>1515</v>
      </c>
      <c r="S42" s="32">
        <v>1299</v>
      </c>
      <c r="T42" s="32">
        <f>3416-854</f>
        <v>2562</v>
      </c>
      <c r="U42" s="32">
        <f>SUM(Tabla1[[#This Row],[Consumo anual P1]:[Consumo anual P6]])</f>
        <v>8865</v>
      </c>
    </row>
    <row r="43" spans="1:21">
      <c r="B43" s="12"/>
      <c r="C43" s="3"/>
      <c r="D43" s="15"/>
      <c r="E43" s="3"/>
      <c r="F43" s="18"/>
      <c r="G43" s="18"/>
      <c r="H43" s="18"/>
      <c r="I43" s="18"/>
      <c r="J43" s="18"/>
      <c r="K43" s="18"/>
      <c r="L43" s="19"/>
      <c r="M43" s="19"/>
      <c r="N43" s="19"/>
      <c r="O43" s="19">
        <f>SUBTOTAL(109,Tabla1[Consumo anual P1])</f>
        <v>130901.33892874223</v>
      </c>
      <c r="P43" s="19">
        <f>SUBTOTAL(109,Tabla1[Consumo anual P2])</f>
        <v>100327.76709708273</v>
      </c>
      <c r="Q43" s="19">
        <f>SUBTOTAL(109,Tabla1[Consumo anual P3])</f>
        <v>30307.274600000001</v>
      </c>
      <c r="R43" s="19">
        <f>SUBTOTAL(109,Tabla1[Consumo anual P4])</f>
        <v>54785</v>
      </c>
      <c r="S43" s="19">
        <f>SUBTOTAL(109,Tabla1[Consumo anual P5])</f>
        <v>20715</v>
      </c>
      <c r="T43" s="19">
        <f>SUBTOTAL(109,Tabla1[Consumo anual P6])</f>
        <v>105683.11564390246</v>
      </c>
      <c r="U43" s="19">
        <f>SUBTOTAL(109,Tabla1[Total anual])</f>
        <v>442719.49626972742</v>
      </c>
    </row>
    <row r="44" spans="1:21">
      <c r="B44" s="3"/>
      <c r="C44" s="3"/>
      <c r="D44" s="4"/>
      <c r="E44" s="3"/>
      <c r="F44" s="9"/>
      <c r="H44" s="11"/>
      <c r="I44" s="11"/>
      <c r="J44" s="11"/>
    </row>
  </sheetData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76" orientation="landscape" r:id="rId1"/>
  <ignoredErrors>
    <ignoredError sqref="L20:U29 L12:U16 L8:U10 L18:U18 L30:U39 L40:U41" formulaRange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6589B-2CAC-4215-BFC4-0935AA801B19}">
  <dimension ref="C3:I15"/>
  <sheetViews>
    <sheetView workbookViewId="0">
      <selection activeCell="K14" sqref="K14"/>
    </sheetView>
  </sheetViews>
  <sheetFormatPr baseColWidth="10" defaultRowHeight="13.2"/>
  <cols>
    <col min="7" max="9" width="12.5546875" customWidth="1"/>
  </cols>
  <sheetData>
    <row r="3" spans="3:9">
      <c r="C3" t="s">
        <v>264</v>
      </c>
      <c r="D3" t="s">
        <v>265</v>
      </c>
      <c r="E3" t="s">
        <v>266</v>
      </c>
      <c r="F3" t="s">
        <v>267</v>
      </c>
      <c r="G3" t="s">
        <v>268</v>
      </c>
      <c r="H3" t="s">
        <v>269</v>
      </c>
      <c r="I3" t="s">
        <v>270</v>
      </c>
    </row>
    <row r="4" spans="3:9">
      <c r="C4">
        <v>1</v>
      </c>
      <c r="D4">
        <v>1</v>
      </c>
      <c r="E4">
        <v>1</v>
      </c>
      <c r="F4">
        <v>0</v>
      </c>
      <c r="G4">
        <v>0</v>
      </c>
      <c r="H4">
        <v>0</v>
      </c>
      <c r="I4">
        <v>1</v>
      </c>
    </row>
    <row r="5" spans="3:9">
      <c r="C5">
        <v>2</v>
      </c>
      <c r="D5">
        <v>1</v>
      </c>
      <c r="E5">
        <v>1</v>
      </c>
      <c r="F5">
        <v>0</v>
      </c>
      <c r="G5">
        <v>0</v>
      </c>
      <c r="H5">
        <v>0</v>
      </c>
      <c r="I5">
        <v>1</v>
      </c>
    </row>
    <row r="6" spans="3:9">
      <c r="C6">
        <v>3</v>
      </c>
      <c r="D6">
        <v>0</v>
      </c>
      <c r="E6">
        <v>1</v>
      </c>
      <c r="F6">
        <v>0.29980000000000001</v>
      </c>
      <c r="G6">
        <v>0</v>
      </c>
      <c r="H6">
        <v>0</v>
      </c>
      <c r="I6">
        <v>0.70020000000000004</v>
      </c>
    </row>
    <row r="7" spans="3:9">
      <c r="C7">
        <v>4</v>
      </c>
      <c r="D7">
        <v>0</v>
      </c>
      <c r="E7">
        <v>0</v>
      </c>
      <c r="F7">
        <v>0</v>
      </c>
      <c r="G7">
        <v>1</v>
      </c>
      <c r="H7">
        <v>1</v>
      </c>
      <c r="I7">
        <v>1</v>
      </c>
    </row>
    <row r="8" spans="3:9">
      <c r="C8">
        <v>5</v>
      </c>
      <c r="D8">
        <v>0</v>
      </c>
      <c r="E8">
        <v>0</v>
      </c>
      <c r="F8">
        <v>0</v>
      </c>
      <c r="G8">
        <v>1</v>
      </c>
      <c r="H8">
        <v>1</v>
      </c>
      <c r="I8">
        <v>1</v>
      </c>
    </row>
    <row r="9" spans="3:9">
      <c r="C9">
        <v>6</v>
      </c>
      <c r="D9">
        <v>0</v>
      </c>
      <c r="E9">
        <v>0</v>
      </c>
      <c r="F9">
        <v>0.3498</v>
      </c>
      <c r="G9">
        <v>1</v>
      </c>
      <c r="H9">
        <v>0</v>
      </c>
      <c r="I9">
        <v>0.6502</v>
      </c>
    </row>
    <row r="10" spans="3:9">
      <c r="C10">
        <v>7</v>
      </c>
      <c r="D10">
        <v>1</v>
      </c>
      <c r="E10">
        <v>1</v>
      </c>
      <c r="F10">
        <v>0</v>
      </c>
      <c r="G10">
        <v>0</v>
      </c>
      <c r="H10">
        <v>0</v>
      </c>
      <c r="I10">
        <v>1</v>
      </c>
    </row>
    <row r="11" spans="3:9">
      <c r="C11">
        <v>8</v>
      </c>
      <c r="D11">
        <v>0</v>
      </c>
      <c r="E11">
        <v>0</v>
      </c>
      <c r="F11">
        <v>0.33560000000000001</v>
      </c>
      <c r="G11">
        <v>1</v>
      </c>
      <c r="H11">
        <v>0</v>
      </c>
      <c r="I11">
        <v>0.66439999999999999</v>
      </c>
    </row>
    <row r="12" spans="3:9">
      <c r="C12">
        <v>9</v>
      </c>
      <c r="D12">
        <v>0</v>
      </c>
      <c r="E12">
        <v>0</v>
      </c>
      <c r="F12">
        <v>0.3498</v>
      </c>
      <c r="G12">
        <v>1</v>
      </c>
      <c r="H12">
        <v>0</v>
      </c>
      <c r="I12">
        <v>0.6502</v>
      </c>
    </row>
    <row r="13" spans="3:9">
      <c r="C13">
        <v>10</v>
      </c>
      <c r="D13">
        <v>0</v>
      </c>
      <c r="E13">
        <v>0</v>
      </c>
      <c r="F13">
        <v>0</v>
      </c>
      <c r="G13">
        <v>1</v>
      </c>
      <c r="H13">
        <v>1</v>
      </c>
      <c r="I13">
        <v>1</v>
      </c>
    </row>
    <row r="14" spans="3:9">
      <c r="C14">
        <v>11</v>
      </c>
      <c r="D14">
        <v>0</v>
      </c>
      <c r="E14">
        <v>1</v>
      </c>
      <c r="F14">
        <v>0.27679999999999999</v>
      </c>
      <c r="G14">
        <v>0</v>
      </c>
      <c r="H14">
        <v>0</v>
      </c>
      <c r="I14">
        <v>0.72319999999999995</v>
      </c>
    </row>
    <row r="15" spans="3:9">
      <c r="C15">
        <v>12</v>
      </c>
      <c r="D15">
        <v>1</v>
      </c>
      <c r="E15">
        <v>1</v>
      </c>
      <c r="F15">
        <v>0</v>
      </c>
      <c r="G15">
        <v>0</v>
      </c>
      <c r="H15">
        <v>0</v>
      </c>
      <c r="I15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2004C-E76B-48FE-9843-B5469DDFE3BF}">
  <dimension ref="A1:N129"/>
  <sheetViews>
    <sheetView topLeftCell="A4" workbookViewId="0">
      <selection activeCell="K14" sqref="K14"/>
    </sheetView>
  </sheetViews>
  <sheetFormatPr baseColWidth="10" defaultColWidth="8.6640625" defaultRowHeight="14.4"/>
  <cols>
    <col min="1" max="1" width="13.44140625" style="16" customWidth="1"/>
    <col min="2" max="2" width="12.33203125" style="16" customWidth="1"/>
    <col min="3" max="16384" width="8.6640625" style="16"/>
  </cols>
  <sheetData>
    <row r="1" spans="1:14">
      <c r="A1" s="16" t="s">
        <v>30</v>
      </c>
    </row>
    <row r="3" spans="1:14">
      <c r="A3" s="16" t="s">
        <v>366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1246</v>
      </c>
      <c r="C4" s="16">
        <v>574</v>
      </c>
      <c r="D4" s="16">
        <v>2299</v>
      </c>
    </row>
    <row r="5" spans="1:14">
      <c r="A5" s="16" t="s">
        <v>36</v>
      </c>
      <c r="B5" s="16">
        <v>30</v>
      </c>
      <c r="C5" s="16">
        <v>14</v>
      </c>
      <c r="D5" s="16">
        <v>56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310</v>
      </c>
    </row>
    <row r="7" spans="1:14">
      <c r="A7" s="17">
        <v>43983</v>
      </c>
      <c r="B7" s="16" t="s">
        <v>89</v>
      </c>
      <c r="C7" s="16">
        <v>29</v>
      </c>
      <c r="D7" s="16" t="s">
        <v>42</v>
      </c>
      <c r="E7" s="16">
        <v>231</v>
      </c>
      <c r="F7" s="16">
        <v>488</v>
      </c>
      <c r="G7" s="16">
        <v>242</v>
      </c>
      <c r="H7" s="16">
        <f>Tabla27[[#This Row],[P1 + P4]]*VLOOKUP(MONTH(Tabla27[[#This Row],[Fecha final]]),Tabla20[#All],2,FALSE)</f>
        <v>0</v>
      </c>
      <c r="I7" s="16">
        <f>Tabla27[[#This Row],[P2 + P5]]*VLOOKUP(MONTH(Tabla27[[#This Row],[Fecha final]]),Tabla20[#All],3,FALSE)</f>
        <v>0</v>
      </c>
      <c r="J7" s="16">
        <f>(Tabla27[[#This Row],[P3 + P6]])*VLOOKUP(MONTH(Tabla27[[#This Row],[Fecha final]]),Tabla20[#All],4,FALSE)</f>
        <v>84.651600000000002</v>
      </c>
      <c r="K7" s="16">
        <f>Tabla27[[#This Row],[P1 + P4]]*VLOOKUP(MONTH(Tabla27[[#This Row],[Fecha final]]),Tabla20[#All],5,FALSE)</f>
        <v>231</v>
      </c>
      <c r="L7" s="16">
        <f>Tabla27[[#This Row],[P2 + P5]]*VLOOKUP(MONTH(Tabla27[[#This Row],[Fecha final]]),Tabla20[#All],6,FALSE)</f>
        <v>0</v>
      </c>
      <c r="M7" s="16">
        <f>Tabla27[[#This Row],[P3 + P6]]*VLOOKUP(MONTH(Tabla27[[#This Row],[Fecha final]]),Tabla20[#All],7,FALSE)</f>
        <v>157.3484</v>
      </c>
      <c r="N7" s="16">
        <f>YEAR(Tabla27[[#This Row],[Fecha final]])</f>
        <v>2020</v>
      </c>
    </row>
    <row r="8" spans="1:14">
      <c r="A8" s="17">
        <v>44012</v>
      </c>
      <c r="B8" s="16" t="s">
        <v>88</v>
      </c>
      <c r="C8" s="16">
        <v>31</v>
      </c>
      <c r="D8" s="16" t="s">
        <v>42</v>
      </c>
      <c r="E8" s="16">
        <v>640</v>
      </c>
      <c r="F8" s="16">
        <v>913</v>
      </c>
      <c r="G8" s="16">
        <v>348</v>
      </c>
      <c r="H8" s="16">
        <f>Tabla27[[#This Row],[P1 + P4]]*VLOOKUP(MONTH(Tabla27[[#This Row],[Fecha final]]),Tabla20[#All],2,FALSE)</f>
        <v>640</v>
      </c>
      <c r="I8" s="16">
        <f>Tabla27[[#This Row],[P2 + P5]]*VLOOKUP(MONTH(Tabla27[[#This Row],[Fecha final]]),Tabla20[#All],3,FALSE)</f>
        <v>913</v>
      </c>
      <c r="J8" s="16">
        <f>(Tabla27[[#This Row],[P3 + P6]])*VLOOKUP(MONTH(Tabla27[[#This Row],[Fecha final]]),Tabla20[#All],4,FALSE)</f>
        <v>0</v>
      </c>
      <c r="K8" s="16">
        <f>Tabla27[[#This Row],[P1 + P4]]*VLOOKUP(MONTH(Tabla27[[#This Row],[Fecha final]]),Tabla20[#All],5,FALSE)</f>
        <v>0</v>
      </c>
      <c r="L8" s="16">
        <f>Tabla27[[#This Row],[P2 + P5]]*VLOOKUP(MONTH(Tabla27[[#This Row],[Fecha final]]),Tabla20[#All],6,FALSE)</f>
        <v>0</v>
      </c>
      <c r="M8" s="16">
        <f>Tabla27[[#This Row],[P3 + P6]]*VLOOKUP(MONTH(Tabla27[[#This Row],[Fecha final]]),Tabla20[#All],7,FALSE)</f>
        <v>348</v>
      </c>
      <c r="N8" s="16">
        <f>YEAR(Tabla27[[#This Row],[Fecha final]])</f>
        <v>2020</v>
      </c>
    </row>
    <row r="9" spans="1:14">
      <c r="A9" s="17">
        <v>44043</v>
      </c>
      <c r="B9" s="16" t="s">
        <v>78</v>
      </c>
      <c r="C9" s="16">
        <v>31</v>
      </c>
      <c r="D9" s="16" t="s">
        <v>42</v>
      </c>
      <c r="E9" s="16">
        <v>455</v>
      </c>
      <c r="F9" s="16">
        <v>662</v>
      </c>
      <c r="G9" s="16">
        <v>240</v>
      </c>
      <c r="H9" s="16">
        <f>Tabla27[[#This Row],[P1 + P4]]*VLOOKUP(MONTH(Tabla27[[#This Row],[Fecha final]]),Tabla20[#All],2,FALSE)</f>
        <v>0</v>
      </c>
      <c r="I9" s="16">
        <f>Tabla27[[#This Row],[P2 + P5]]*VLOOKUP(MONTH(Tabla27[[#This Row],[Fecha final]]),Tabla20[#All],3,FALSE)</f>
        <v>0</v>
      </c>
      <c r="J9" s="16">
        <f>(Tabla27[[#This Row],[P3 + P6]])*VLOOKUP(MONTH(Tabla27[[#This Row],[Fecha final]]),Tabla20[#All],4,FALSE)</f>
        <v>80.543999999999997</v>
      </c>
      <c r="K9" s="16">
        <f>Tabla27[[#This Row],[P1 + P4]]*VLOOKUP(MONTH(Tabla27[[#This Row],[Fecha final]]),Tabla20[#All],5,FALSE)</f>
        <v>455</v>
      </c>
      <c r="L9" s="16">
        <f>Tabla27[[#This Row],[P2 + P5]]*VLOOKUP(MONTH(Tabla27[[#This Row],[Fecha final]]),Tabla20[#All],6,FALSE)</f>
        <v>0</v>
      </c>
      <c r="M9" s="16">
        <f>Tabla27[[#This Row],[P3 + P6]]*VLOOKUP(MONTH(Tabla27[[#This Row],[Fecha final]]),Tabla20[#All],7,FALSE)</f>
        <v>159.45599999999999</v>
      </c>
      <c r="N9" s="16">
        <f>YEAR(Tabla27[[#This Row],[Fecha final]])</f>
        <v>2020</v>
      </c>
    </row>
    <row r="10" spans="1:14">
      <c r="A10" s="17">
        <v>44074</v>
      </c>
      <c r="B10" s="16" t="s">
        <v>41</v>
      </c>
      <c r="C10" s="16">
        <v>30</v>
      </c>
      <c r="D10" s="16" t="s">
        <v>42</v>
      </c>
      <c r="E10" s="16">
        <v>482</v>
      </c>
      <c r="F10" s="16">
        <v>828</v>
      </c>
      <c r="G10" s="16">
        <v>245</v>
      </c>
      <c r="H10" s="16">
        <f>Tabla27[[#This Row],[P1 + P4]]*VLOOKUP(MONTH(Tabla27[[#This Row],[Fecha final]]),Tabla20[#All],2,FALSE)</f>
        <v>0</v>
      </c>
      <c r="I10" s="16">
        <f>Tabla27[[#This Row],[P2 + P5]]*VLOOKUP(MONTH(Tabla27[[#This Row],[Fecha final]]),Tabla20[#All],3,FALSE)</f>
        <v>0</v>
      </c>
      <c r="J10" s="16">
        <f>(Tabla27[[#This Row],[P3 + P6]])*VLOOKUP(MONTH(Tabla27[[#This Row],[Fecha final]]),Tabla20[#All],4,FALSE)</f>
        <v>85.700999999999993</v>
      </c>
      <c r="K10" s="16">
        <f>Tabla27[[#This Row],[P1 + P4]]*VLOOKUP(MONTH(Tabla27[[#This Row],[Fecha final]]),Tabla20[#All],5,FALSE)</f>
        <v>482</v>
      </c>
      <c r="L10" s="16">
        <f>Tabla27[[#This Row],[P2 + P5]]*VLOOKUP(MONTH(Tabla27[[#This Row],[Fecha final]]),Tabla20[#All],6,FALSE)</f>
        <v>0</v>
      </c>
      <c r="M10" s="16">
        <f>Tabla27[[#This Row],[P3 + P6]]*VLOOKUP(MONTH(Tabla27[[#This Row],[Fecha final]]),Tabla20[#All],7,FALSE)</f>
        <v>159.29900000000001</v>
      </c>
      <c r="N10" s="16">
        <f>YEAR(Tabla27[[#This Row],[Fecha final]])</f>
        <v>2020</v>
      </c>
    </row>
    <row r="11" spans="1:14">
      <c r="A11" s="17">
        <v>44104</v>
      </c>
      <c r="B11" s="16" t="s">
        <v>43</v>
      </c>
      <c r="C11" s="16">
        <v>31</v>
      </c>
      <c r="D11" s="16" t="s">
        <v>42</v>
      </c>
      <c r="E11" s="16">
        <v>227</v>
      </c>
      <c r="F11" s="16">
        <v>543</v>
      </c>
      <c r="G11" s="16">
        <v>178</v>
      </c>
      <c r="H11" s="16">
        <f>Tabla27[[#This Row],[P1 + P4]]*VLOOKUP(MONTH(Tabla27[[#This Row],[Fecha final]]),Tabla20[#All],2,FALSE)</f>
        <v>0</v>
      </c>
      <c r="I11" s="16">
        <f>Tabla27[[#This Row],[P2 + P5]]*VLOOKUP(MONTH(Tabla27[[#This Row],[Fecha final]]),Tabla20[#All],3,FALSE)</f>
        <v>0</v>
      </c>
      <c r="J11" s="16">
        <f>(Tabla27[[#This Row],[P3 + P6]])*VLOOKUP(MONTH(Tabla27[[#This Row],[Fecha final]]),Tabla20[#All],4,FALSE)</f>
        <v>0</v>
      </c>
      <c r="K11" s="16">
        <f>Tabla27[[#This Row],[P1 + P4]]*VLOOKUP(MONTH(Tabla27[[#This Row],[Fecha final]]),Tabla20[#All],5,FALSE)</f>
        <v>227</v>
      </c>
      <c r="L11" s="16">
        <f>Tabla27[[#This Row],[P2 + P5]]*VLOOKUP(MONTH(Tabla27[[#This Row],[Fecha final]]),Tabla20[#All],6,FALSE)</f>
        <v>543</v>
      </c>
      <c r="M11" s="16">
        <f>Tabla27[[#This Row],[P3 + P6]]*VLOOKUP(MONTH(Tabla27[[#This Row],[Fecha final]]),Tabla20[#All],7,FALSE)</f>
        <v>178</v>
      </c>
      <c r="N11" s="16">
        <f>YEAR(Tabla27[[#This Row],[Fecha final]])</f>
        <v>2020</v>
      </c>
    </row>
    <row r="12" spans="1:14">
      <c r="A12" s="17">
        <v>44135</v>
      </c>
      <c r="B12" s="16" t="s">
        <v>44</v>
      </c>
      <c r="C12" s="16">
        <v>30</v>
      </c>
      <c r="D12" s="16" t="s">
        <v>42</v>
      </c>
      <c r="E12" s="16">
        <v>76</v>
      </c>
      <c r="F12" s="16">
        <v>613</v>
      </c>
      <c r="G12" s="16">
        <v>162</v>
      </c>
      <c r="H12" s="16">
        <f>Tabla27[[#This Row],[P1 + P4]]*VLOOKUP(MONTH(Tabla27[[#This Row],[Fecha final]]),Tabla20[#All],2,FALSE)</f>
        <v>0</v>
      </c>
      <c r="I12" s="16">
        <f>Tabla27[[#This Row],[P2 + P5]]*VLOOKUP(MONTH(Tabla27[[#This Row],[Fecha final]]),Tabla20[#All],3,FALSE)</f>
        <v>613</v>
      </c>
      <c r="J12" s="16">
        <f>(Tabla27[[#This Row],[P3 + P6]])*VLOOKUP(MONTH(Tabla27[[#This Row],[Fecha final]]),Tabla20[#All],4,FALSE)</f>
        <v>44.8416</v>
      </c>
      <c r="K12" s="16">
        <f>Tabla27[[#This Row],[P1 + P4]]*VLOOKUP(MONTH(Tabla27[[#This Row],[Fecha final]]),Tabla20[#All],5,FALSE)</f>
        <v>0</v>
      </c>
      <c r="L12" s="16">
        <f>Tabla27[[#This Row],[P2 + P5]]*VLOOKUP(MONTH(Tabla27[[#This Row],[Fecha final]]),Tabla20[#All],6,FALSE)</f>
        <v>0</v>
      </c>
      <c r="M12" s="16">
        <f>Tabla27[[#This Row],[P3 + P6]]*VLOOKUP(MONTH(Tabla27[[#This Row],[Fecha final]]),Tabla20[#All],7,FALSE)</f>
        <v>117.15839999999999</v>
      </c>
      <c r="N12" s="16">
        <f>YEAR(Tabla27[[#This Row],[Fecha final]])</f>
        <v>2020</v>
      </c>
    </row>
    <row r="13" spans="1:14">
      <c r="A13" s="17">
        <v>44165</v>
      </c>
      <c r="B13" s="16" t="s">
        <v>45</v>
      </c>
      <c r="C13" s="16">
        <v>31</v>
      </c>
      <c r="D13" s="16" t="s">
        <v>42</v>
      </c>
      <c r="E13" s="16">
        <v>113</v>
      </c>
      <c r="F13" s="16">
        <v>851</v>
      </c>
      <c r="G13" s="16">
        <v>240</v>
      </c>
      <c r="H13" s="16">
        <f>Tabla27[[#This Row],[P1 + P4]]*VLOOKUP(MONTH(Tabla27[[#This Row],[Fecha final]]),Tabla20[#All],2,FALSE)</f>
        <v>113</v>
      </c>
      <c r="I13" s="16">
        <f>Tabla27[[#This Row],[P2 + P5]]*VLOOKUP(MONTH(Tabla27[[#This Row],[Fecha final]]),Tabla20[#All],3,FALSE)</f>
        <v>851</v>
      </c>
      <c r="J13" s="16">
        <f>(Tabla27[[#This Row],[P3 + P6]])*VLOOKUP(MONTH(Tabla27[[#This Row],[Fecha final]]),Tabla20[#All],4,FALSE)</f>
        <v>0</v>
      </c>
      <c r="K13" s="16">
        <f>Tabla27[[#This Row],[P1 + P4]]*VLOOKUP(MONTH(Tabla27[[#This Row],[Fecha final]]),Tabla20[#All],5,FALSE)</f>
        <v>0</v>
      </c>
      <c r="L13" s="16">
        <f>Tabla27[[#This Row],[P2 + P5]]*VLOOKUP(MONTH(Tabla27[[#This Row],[Fecha final]]),Tabla20[#All],6,FALSE)</f>
        <v>0</v>
      </c>
      <c r="M13" s="16">
        <f>Tabla27[[#This Row],[P3 + P6]]*VLOOKUP(MONTH(Tabla27[[#This Row],[Fecha final]]),Tabla20[#All],7,FALSE)</f>
        <v>240</v>
      </c>
      <c r="N13" s="16">
        <f>YEAR(Tabla27[[#This Row],[Fecha final]])</f>
        <v>2020</v>
      </c>
    </row>
    <row r="14" spans="1:14">
      <c r="A14" s="17">
        <v>44196</v>
      </c>
      <c r="B14" s="16" t="s">
        <v>46</v>
      </c>
      <c r="C14" s="16">
        <v>31</v>
      </c>
      <c r="D14" s="16" t="s">
        <v>42</v>
      </c>
      <c r="E14" s="16">
        <v>125</v>
      </c>
      <c r="F14" s="16">
        <v>1296</v>
      </c>
      <c r="G14" s="16">
        <v>263</v>
      </c>
      <c r="H14" s="16">
        <f>Tabla27[[#This Row],[P1 + P4]]*VLOOKUP(MONTH(Tabla27[[#This Row],[Fecha final]]),Tabla20[#All],2,FALSE)</f>
        <v>125</v>
      </c>
      <c r="I14" s="16">
        <f>Tabla27[[#This Row],[P2 + P5]]*VLOOKUP(MONTH(Tabla27[[#This Row],[Fecha final]]),Tabla20[#All],3,FALSE)</f>
        <v>1296</v>
      </c>
      <c r="J14" s="16">
        <f>(Tabla27[[#This Row],[P3 + P6]])*VLOOKUP(MONTH(Tabla27[[#This Row],[Fecha final]]),Tabla20[#All],4,FALSE)</f>
        <v>0</v>
      </c>
      <c r="K14" s="16">
        <f>Tabla27[[#This Row],[P1 + P4]]*VLOOKUP(MONTH(Tabla27[[#This Row],[Fecha final]]),Tabla20[#All],5,FALSE)</f>
        <v>0</v>
      </c>
      <c r="L14" s="16">
        <f>Tabla27[[#This Row],[P2 + P5]]*VLOOKUP(MONTH(Tabla27[[#This Row],[Fecha final]]),Tabla20[#All],6,FALSE)</f>
        <v>0</v>
      </c>
      <c r="M14" s="16">
        <f>Tabla27[[#This Row],[P3 + P6]]*VLOOKUP(MONTH(Tabla27[[#This Row],[Fecha final]]),Tabla20[#All],7,FALSE)</f>
        <v>263</v>
      </c>
      <c r="N14" s="16">
        <f>YEAR(Tabla27[[#This Row],[Fecha final]])</f>
        <v>2021</v>
      </c>
    </row>
    <row r="15" spans="1:14">
      <c r="A15" s="17">
        <v>44227</v>
      </c>
      <c r="B15" s="16" t="s">
        <v>367</v>
      </c>
      <c r="C15" s="16">
        <v>30</v>
      </c>
      <c r="D15" s="16" t="s">
        <v>42</v>
      </c>
      <c r="E15" s="16">
        <v>100</v>
      </c>
      <c r="F15" s="16">
        <v>911</v>
      </c>
      <c r="G15" s="16">
        <v>209</v>
      </c>
      <c r="H15" s="16">
        <f>Tabla27[[#This Row],[P1 + P4]]*VLOOKUP(MONTH(Tabla27[[#This Row],[Fecha final]]),Tabla20[#All],2,FALSE)</f>
        <v>0</v>
      </c>
      <c r="I15" s="16">
        <f>Tabla27[[#This Row],[P2 + P5]]*VLOOKUP(MONTH(Tabla27[[#This Row],[Fecha final]]),Tabla20[#All],3,FALSE)</f>
        <v>911</v>
      </c>
      <c r="J15" s="16">
        <f>(Tabla27[[#This Row],[P3 + P6]])*VLOOKUP(MONTH(Tabla27[[#This Row],[Fecha final]]),Tabla20[#All],4,FALSE)</f>
        <v>62.658200000000001</v>
      </c>
      <c r="K15" s="16">
        <f>Tabla27[[#This Row],[P1 + P4]]*VLOOKUP(MONTH(Tabla27[[#This Row],[Fecha final]]),Tabla20[#All],5,FALSE)</f>
        <v>0</v>
      </c>
      <c r="L15" s="16">
        <f>Tabla27[[#This Row],[P2 + P5]]*VLOOKUP(MONTH(Tabla27[[#This Row],[Fecha final]]),Tabla20[#All],6,FALSE)</f>
        <v>0</v>
      </c>
      <c r="M15" s="16">
        <f>Tabla27[[#This Row],[P3 + P6]]*VLOOKUP(MONTH(Tabla27[[#This Row],[Fecha final]]),Tabla20[#All],7,FALSE)</f>
        <v>146.34180000000001</v>
      </c>
      <c r="N15" s="16">
        <f>YEAR(Tabla27[[#This Row],[Fecha final]])</f>
        <v>2021</v>
      </c>
    </row>
    <row r="16" spans="1:14">
      <c r="A16" s="17">
        <v>44257</v>
      </c>
      <c r="B16" s="16" t="s">
        <v>136</v>
      </c>
      <c r="C16" s="16">
        <v>34</v>
      </c>
      <c r="D16" s="16" t="s">
        <v>42</v>
      </c>
      <c r="E16" s="16">
        <v>115</v>
      </c>
      <c r="F16" s="16">
        <v>800</v>
      </c>
      <c r="G16" s="16">
        <v>206</v>
      </c>
      <c r="H16" s="16">
        <f>Tabla27[[#This Row],[P1 + P4]]*VLOOKUP(MONTH(Tabla27[[#This Row],[Fecha final]]),Tabla20[#All],2,FALSE)</f>
        <v>0</v>
      </c>
      <c r="I16" s="16">
        <f>Tabla27[[#This Row],[P2 + P5]]*VLOOKUP(MONTH(Tabla27[[#This Row],[Fecha final]]),Tabla20[#All],3,FALSE)</f>
        <v>0</v>
      </c>
      <c r="J16" s="16">
        <f>(Tabla27[[#This Row],[P3 + P6]])*VLOOKUP(MONTH(Tabla27[[#This Row],[Fecha final]]),Tabla20[#All],4,FALSE)</f>
        <v>0</v>
      </c>
      <c r="K16" s="16">
        <f>Tabla27[[#This Row],[P1 + P4]]*VLOOKUP(MONTH(Tabla27[[#This Row],[Fecha final]]),Tabla20[#All],5,FALSE)</f>
        <v>115</v>
      </c>
      <c r="L16" s="16">
        <f>Tabla27[[#This Row],[P2 + P5]]*VLOOKUP(MONTH(Tabla27[[#This Row],[Fecha final]]),Tabla20[#All],6,FALSE)</f>
        <v>800</v>
      </c>
      <c r="M16" s="16">
        <f>Tabla27[[#This Row],[P3 + P6]]*VLOOKUP(MONTH(Tabla27[[#This Row],[Fecha final]]),Tabla20[#All],7,FALSE)</f>
        <v>206</v>
      </c>
      <c r="N16" s="16">
        <f>YEAR(Tabla27[[#This Row],[Fecha final]])</f>
        <v>2021</v>
      </c>
    </row>
    <row r="17" spans="1:14">
      <c r="A17" s="17">
        <v>44291</v>
      </c>
      <c r="B17" s="16" t="s">
        <v>50</v>
      </c>
      <c r="C17" s="16">
        <v>25</v>
      </c>
      <c r="D17" s="16" t="s">
        <v>42</v>
      </c>
      <c r="E17" s="16">
        <v>129</v>
      </c>
      <c r="F17" s="16">
        <v>331</v>
      </c>
      <c r="G17" s="16">
        <v>150</v>
      </c>
      <c r="H17" s="16">
        <f>Tabla27[[#This Row],[P1 + P4]]*VLOOKUP(MONTH(Tabla27[[#This Row],[Fecha final]]),Tabla20[#All],2,FALSE)</f>
        <v>0</v>
      </c>
      <c r="I17" s="16">
        <f>Tabla27[[#This Row],[P2 + P5]]*VLOOKUP(MONTH(Tabla27[[#This Row],[Fecha final]]),Tabla20[#All],3,FALSE)</f>
        <v>0</v>
      </c>
      <c r="J17" s="16">
        <f>(Tabla27[[#This Row],[P3 + P6]])*VLOOKUP(MONTH(Tabla27[[#This Row],[Fecha final]]),Tabla20[#All],4,FALSE)</f>
        <v>0</v>
      </c>
      <c r="K17" s="16">
        <f>Tabla27[[#This Row],[P1 + P4]]*VLOOKUP(MONTH(Tabla27[[#This Row],[Fecha final]]),Tabla20[#All],5,FALSE)</f>
        <v>129</v>
      </c>
      <c r="L17" s="16">
        <f>Tabla27[[#This Row],[P2 + P5]]*VLOOKUP(MONTH(Tabla27[[#This Row],[Fecha final]]),Tabla20[#All],6,FALSE)</f>
        <v>331</v>
      </c>
      <c r="M17" s="16">
        <f>Tabla27[[#This Row],[P3 + P6]]*VLOOKUP(MONTH(Tabla27[[#This Row],[Fecha final]]),Tabla20[#All],7,FALSE)</f>
        <v>150</v>
      </c>
      <c r="N17" s="16">
        <f>YEAR(Tabla27[[#This Row],[Fecha final]])</f>
        <v>2021</v>
      </c>
    </row>
    <row r="18" spans="1:14">
      <c r="A18" s="17">
        <v>44316</v>
      </c>
      <c r="B18" s="16" t="s">
        <v>51</v>
      </c>
      <c r="C18" s="16">
        <v>31</v>
      </c>
      <c r="D18" s="16" t="s">
        <v>42</v>
      </c>
      <c r="E18" s="16">
        <v>212</v>
      </c>
      <c r="F18" s="16">
        <v>537</v>
      </c>
      <c r="G18" s="16">
        <v>242</v>
      </c>
      <c r="H18" s="16">
        <f>Tabla27[[#This Row],[P1 + P4]]*VLOOKUP(MONTH(Tabla27[[#This Row],[Fecha final]]),Tabla20[#All],2,FALSE)</f>
        <v>0</v>
      </c>
      <c r="I18" s="16">
        <f>Tabla27[[#This Row],[P2 + P5]]*VLOOKUP(MONTH(Tabla27[[#This Row],[Fecha final]]),Tabla20[#All],3,FALSE)</f>
        <v>0</v>
      </c>
      <c r="J18" s="16">
        <f>(Tabla27[[#This Row],[P3 + P6]])*VLOOKUP(MONTH(Tabla27[[#This Row],[Fecha final]]),Tabla20[#All],4,FALSE)</f>
        <v>0</v>
      </c>
      <c r="K18" s="16">
        <f>Tabla27[[#This Row],[P1 + P4]]*VLOOKUP(MONTH(Tabla27[[#This Row],[Fecha final]]),Tabla20[#All],5,FALSE)</f>
        <v>212</v>
      </c>
      <c r="L18" s="16">
        <f>Tabla27[[#This Row],[P2 + P5]]*VLOOKUP(MONTH(Tabla27[[#This Row],[Fecha final]]),Tabla20[#All],6,FALSE)</f>
        <v>537</v>
      </c>
      <c r="M18" s="16">
        <f>Tabla27[[#This Row],[P3 + P6]]*VLOOKUP(MONTH(Tabla27[[#This Row],[Fecha final]]),Tabla20[#All],7,FALSE)</f>
        <v>242</v>
      </c>
      <c r="N18" s="16">
        <f>YEAR(Tabla27[[#This Row],[Fecha final]])</f>
        <v>2021</v>
      </c>
    </row>
    <row r="19" spans="1:14">
      <c r="A19" s="17">
        <v>44347</v>
      </c>
      <c r="B19" s="16" t="s">
        <v>52</v>
      </c>
      <c r="C19" s="16">
        <v>30</v>
      </c>
      <c r="D19" s="16" t="s">
        <v>42</v>
      </c>
      <c r="E19" s="16">
        <v>208</v>
      </c>
      <c r="F19" s="16">
        <v>0</v>
      </c>
      <c r="G19" s="16">
        <v>930</v>
      </c>
      <c r="H19" s="16">
        <f>Tabla27[[#This Row],[P1 + P4]]*VLOOKUP(MONTH(Tabla27[[#This Row],[Fecha final]]),Tabla20[#All],2,FALSE)</f>
        <v>0</v>
      </c>
      <c r="I19" s="16">
        <f>Tabla27[[#This Row],[P2 + P5]]*VLOOKUP(MONTH(Tabla27[[#This Row],[Fecha final]]),Tabla20[#All],3,FALSE)</f>
        <v>0</v>
      </c>
      <c r="J19" s="16">
        <f>(Tabla27[[#This Row],[P3 + P6]])*VLOOKUP(MONTH(Tabla27[[#This Row],[Fecha final]]),Tabla20[#All],4,FALSE)</f>
        <v>325.31400000000002</v>
      </c>
      <c r="K19" s="16">
        <f>Tabla27[[#This Row],[P1 + P4]]*VLOOKUP(MONTH(Tabla27[[#This Row],[Fecha final]]),Tabla20[#All],5,FALSE)</f>
        <v>208</v>
      </c>
      <c r="L19" s="16">
        <f>Tabla27[[#This Row],[P2 + P5]]*VLOOKUP(MONTH(Tabla27[[#This Row],[Fecha final]]),Tabla20[#All],6,FALSE)</f>
        <v>0</v>
      </c>
      <c r="M19" s="16">
        <f>Tabla27[[#This Row],[P3 + P6]]*VLOOKUP(MONTH(Tabla27[[#This Row],[Fecha final]]),Tabla20[#All],7,FALSE)</f>
        <v>604.68600000000004</v>
      </c>
      <c r="N19" s="16">
        <f>YEAR(Tabla27[[#This Row],[Fecha final]])</f>
        <v>2021</v>
      </c>
    </row>
    <row r="20" spans="1:14">
      <c r="A20" s="17">
        <v>44377</v>
      </c>
      <c r="B20" s="16" t="s">
        <v>53</v>
      </c>
      <c r="C20" s="16">
        <v>31</v>
      </c>
      <c r="D20" s="16" t="s">
        <v>42</v>
      </c>
      <c r="E20" s="16">
        <v>910</v>
      </c>
      <c r="F20" s="16">
        <v>296</v>
      </c>
      <c r="G20" s="16">
        <v>466</v>
      </c>
      <c r="H20" s="16">
        <f>Tabla27[[#This Row],[P1 + P4]]*VLOOKUP(MONTH(Tabla27[[#This Row],[Fecha final]]),Tabla20[#All],2,FALSE)</f>
        <v>910</v>
      </c>
      <c r="I20" s="16">
        <f>Tabla27[[#This Row],[P2 + P5]]*VLOOKUP(MONTH(Tabla27[[#This Row],[Fecha final]]),Tabla20[#All],3,FALSE)</f>
        <v>296</v>
      </c>
      <c r="J20" s="16">
        <f>(Tabla27[[#This Row],[P3 + P6]])*VLOOKUP(MONTH(Tabla27[[#This Row],[Fecha final]]),Tabla20[#All],4,FALSE)</f>
        <v>0</v>
      </c>
      <c r="K20" s="16">
        <f>Tabla27[[#This Row],[P1 + P4]]*VLOOKUP(MONTH(Tabla27[[#This Row],[Fecha final]]),Tabla20[#All],5,FALSE)</f>
        <v>0</v>
      </c>
      <c r="L20" s="16">
        <f>Tabla27[[#This Row],[P2 + P5]]*VLOOKUP(MONTH(Tabla27[[#This Row],[Fecha final]]),Tabla20[#All],6,FALSE)</f>
        <v>0</v>
      </c>
      <c r="M20" s="16">
        <f>Tabla27[[#This Row],[P3 + P6]]*VLOOKUP(MONTH(Tabla27[[#This Row],[Fecha final]]),Tabla20[#All],7,FALSE)</f>
        <v>466</v>
      </c>
      <c r="N20" s="16">
        <f>YEAR(Tabla27[[#This Row],[Fecha final]])</f>
        <v>2021</v>
      </c>
    </row>
    <row r="21" spans="1:14">
      <c r="A21" s="17">
        <v>44408</v>
      </c>
      <c r="B21" s="16" t="s">
        <v>54</v>
      </c>
      <c r="C21" s="16">
        <v>31</v>
      </c>
      <c r="D21" s="16" t="s">
        <v>42</v>
      </c>
      <c r="E21" s="16">
        <v>274</v>
      </c>
      <c r="F21" s="16">
        <v>0</v>
      </c>
      <c r="G21" s="16">
        <v>1081</v>
      </c>
      <c r="H21" s="16">
        <f>Tabla27[[#This Row],[P1 + P4]]*VLOOKUP(MONTH(Tabla27[[#This Row],[Fecha final]]),Tabla20[#All],2,FALSE)</f>
        <v>0</v>
      </c>
      <c r="I21" s="16">
        <f>Tabla27[[#This Row],[P2 + P5]]*VLOOKUP(MONTH(Tabla27[[#This Row],[Fecha final]]),Tabla20[#All],3,FALSE)</f>
        <v>0</v>
      </c>
      <c r="J21" s="16">
        <f>(Tabla27[[#This Row],[P3 + P6]])*VLOOKUP(MONTH(Tabla27[[#This Row],[Fecha final]]),Tabla20[#All],4,FALSE)</f>
        <v>362.78360000000004</v>
      </c>
      <c r="K21" s="16">
        <f>Tabla27[[#This Row],[P1 + P4]]*VLOOKUP(MONTH(Tabla27[[#This Row],[Fecha final]]),Tabla20[#All],5,FALSE)</f>
        <v>274</v>
      </c>
      <c r="L21" s="16">
        <f>Tabla27[[#This Row],[P2 + P5]]*VLOOKUP(MONTH(Tabla27[[#This Row],[Fecha final]]),Tabla20[#All],6,FALSE)</f>
        <v>0</v>
      </c>
      <c r="M21" s="16">
        <f>Tabla27[[#This Row],[P3 + P6]]*VLOOKUP(MONTH(Tabla27[[#This Row],[Fecha final]]),Tabla20[#All],7,FALSE)</f>
        <v>718.21640000000002</v>
      </c>
      <c r="N21" s="16">
        <f>YEAR(Tabla27[[#This Row],[Fecha final]])</f>
        <v>2021</v>
      </c>
    </row>
    <row r="22" spans="1:14">
      <c r="A22" s="17">
        <v>44439</v>
      </c>
      <c r="B22" s="16" t="s">
        <v>55</v>
      </c>
      <c r="C22" s="16">
        <v>30</v>
      </c>
      <c r="D22" s="16" t="s">
        <v>42</v>
      </c>
      <c r="E22" s="16">
        <v>517</v>
      </c>
      <c r="F22" s="16">
        <v>0</v>
      </c>
      <c r="G22" s="16">
        <v>1151</v>
      </c>
      <c r="H22" s="16">
        <f>Tabla27[[#This Row],[P1 + P4]]*VLOOKUP(MONTH(Tabla27[[#This Row],[Fecha final]]),Tabla20[#All],2,FALSE)</f>
        <v>0</v>
      </c>
      <c r="I22" s="16">
        <f>Tabla27[[#This Row],[P2 + P5]]*VLOOKUP(MONTH(Tabla27[[#This Row],[Fecha final]]),Tabla20[#All],3,FALSE)</f>
        <v>0</v>
      </c>
      <c r="J22" s="16">
        <f>(Tabla27[[#This Row],[P3 + P6]])*VLOOKUP(MONTH(Tabla27[[#This Row],[Fecha final]]),Tabla20[#All],4,FALSE)</f>
        <v>402.6198</v>
      </c>
      <c r="K22" s="16">
        <f>Tabla27[[#This Row],[P1 + P4]]*VLOOKUP(MONTH(Tabla27[[#This Row],[Fecha final]]),Tabla20[#All],5,FALSE)</f>
        <v>517</v>
      </c>
      <c r="L22" s="16">
        <f>Tabla27[[#This Row],[P2 + P5]]*VLOOKUP(MONTH(Tabla27[[#This Row],[Fecha final]]),Tabla20[#All],6,FALSE)</f>
        <v>0</v>
      </c>
      <c r="M22" s="16">
        <f>Tabla27[[#This Row],[P3 + P6]]*VLOOKUP(MONTH(Tabla27[[#This Row],[Fecha final]]),Tabla20[#All],7,FALSE)</f>
        <v>748.38019999999995</v>
      </c>
      <c r="N22" s="16">
        <f>YEAR(Tabla27[[#This Row],[Fecha final]])</f>
        <v>2021</v>
      </c>
    </row>
    <row r="23" spans="1:14">
      <c r="A23" s="17">
        <v>44469</v>
      </c>
      <c r="B23" s="16" t="s">
        <v>57</v>
      </c>
      <c r="C23" s="16">
        <v>31</v>
      </c>
      <c r="D23" s="16" t="s">
        <v>42</v>
      </c>
      <c r="E23" s="16">
        <v>363</v>
      </c>
      <c r="F23" s="16">
        <v>327</v>
      </c>
      <c r="G23" s="16">
        <v>291</v>
      </c>
      <c r="H23" s="16">
        <f>Tabla27[[#This Row],[P1 + P4]]*VLOOKUP(MONTH(Tabla27[[#This Row],[Fecha final]]),Tabla20[#All],2,FALSE)</f>
        <v>0</v>
      </c>
      <c r="I23" s="16">
        <f>Tabla27[[#This Row],[P2 + P5]]*VLOOKUP(MONTH(Tabla27[[#This Row],[Fecha final]]),Tabla20[#All],3,FALSE)</f>
        <v>0</v>
      </c>
      <c r="J23" s="16">
        <f>(Tabla27[[#This Row],[P3 + P6]])*VLOOKUP(MONTH(Tabla27[[#This Row],[Fecha final]]),Tabla20[#All],4,FALSE)</f>
        <v>0</v>
      </c>
      <c r="K23" s="16">
        <f>Tabla27[[#This Row],[P1 + P4]]*VLOOKUP(MONTH(Tabla27[[#This Row],[Fecha final]]),Tabla20[#All],5,FALSE)</f>
        <v>363</v>
      </c>
      <c r="L23" s="16">
        <f>Tabla27[[#This Row],[P2 + P5]]*VLOOKUP(MONTH(Tabla27[[#This Row],[Fecha final]]),Tabla20[#All],6,FALSE)</f>
        <v>327</v>
      </c>
      <c r="M23" s="16">
        <f>Tabla27[[#This Row],[P3 + P6]]*VLOOKUP(MONTH(Tabla27[[#This Row],[Fecha final]]),Tabla20[#All],7,FALSE)</f>
        <v>291</v>
      </c>
      <c r="N23" s="16">
        <f>YEAR(Tabla27[[#This Row],[Fecha final]])</f>
        <v>2021</v>
      </c>
    </row>
    <row r="24" spans="1:14">
      <c r="A24" s="17">
        <v>44500</v>
      </c>
      <c r="B24" s="16" t="s">
        <v>58</v>
      </c>
      <c r="C24" s="16">
        <v>30</v>
      </c>
      <c r="D24" s="16" t="s">
        <v>42</v>
      </c>
      <c r="E24" s="16">
        <v>0</v>
      </c>
      <c r="F24" s="16">
        <v>417</v>
      </c>
      <c r="G24" s="16">
        <v>561</v>
      </c>
      <c r="H24" s="16">
        <f>Tabla27[[#This Row],[P1 + P4]]*VLOOKUP(MONTH(Tabla27[[#This Row],[Fecha final]]),Tabla20[#All],2,FALSE)</f>
        <v>0</v>
      </c>
      <c r="I24" s="16">
        <f>Tabla27[[#This Row],[P2 + P5]]*VLOOKUP(MONTH(Tabla27[[#This Row],[Fecha final]]),Tabla20[#All],3,FALSE)</f>
        <v>417</v>
      </c>
      <c r="J24" s="16">
        <f>(Tabla27[[#This Row],[P3 + P6]])*VLOOKUP(MONTH(Tabla27[[#This Row],[Fecha final]]),Tabla20[#All],4,FALSE)</f>
        <v>155.28479999999999</v>
      </c>
      <c r="K24" s="16">
        <f>Tabla27[[#This Row],[P1 + P4]]*VLOOKUP(MONTH(Tabla27[[#This Row],[Fecha final]]),Tabla20[#All],5,FALSE)</f>
        <v>0</v>
      </c>
      <c r="L24" s="16">
        <f>Tabla27[[#This Row],[P2 + P5]]*VLOOKUP(MONTH(Tabla27[[#This Row],[Fecha final]]),Tabla20[#All],6,FALSE)</f>
        <v>0</v>
      </c>
      <c r="M24" s="16">
        <f>Tabla27[[#This Row],[P3 + P6]]*VLOOKUP(MONTH(Tabla27[[#This Row],[Fecha final]]),Tabla20[#All],7,FALSE)</f>
        <v>405.71519999999998</v>
      </c>
      <c r="N24" s="16">
        <f>YEAR(Tabla27[[#This Row],[Fecha final]])</f>
        <v>2021</v>
      </c>
    </row>
    <row r="25" spans="1:14">
      <c r="A25" s="17">
        <v>44530</v>
      </c>
      <c r="B25" s="16" t="s">
        <v>59</v>
      </c>
      <c r="C25" s="16">
        <v>2</v>
      </c>
      <c r="D25" s="16" t="s">
        <v>42</v>
      </c>
      <c r="E25" s="16">
        <v>62</v>
      </c>
      <c r="F25" s="16">
        <v>51</v>
      </c>
      <c r="G25" s="16">
        <v>8</v>
      </c>
      <c r="H25" s="16">
        <f>Tabla27[[#This Row],[P1 + P4]]*VLOOKUP(MONTH(Tabla27[[#This Row],[Fecha final]]),Tabla20[#All],2,FALSE)</f>
        <v>62</v>
      </c>
      <c r="I25" s="16">
        <f>Tabla27[[#This Row],[P2 + P5]]*VLOOKUP(MONTH(Tabla27[[#This Row],[Fecha final]]),Tabla20[#All],3,FALSE)</f>
        <v>51</v>
      </c>
      <c r="J25" s="16">
        <f>(Tabla27[[#This Row],[P3 + P6]])*VLOOKUP(MONTH(Tabla27[[#This Row],[Fecha final]]),Tabla20[#All],4,FALSE)</f>
        <v>0</v>
      </c>
      <c r="K25" s="16">
        <f>Tabla27[[#This Row],[P1 + P4]]*VLOOKUP(MONTH(Tabla27[[#This Row],[Fecha final]]),Tabla20[#All],5,FALSE)</f>
        <v>0</v>
      </c>
      <c r="L25" s="16">
        <f>Tabla27[[#This Row],[P2 + P5]]*VLOOKUP(MONTH(Tabla27[[#This Row],[Fecha final]]),Tabla20[#All],6,FALSE)</f>
        <v>0</v>
      </c>
      <c r="M25" s="16">
        <f>Tabla27[[#This Row],[P3 + P6]]*VLOOKUP(MONTH(Tabla27[[#This Row],[Fecha final]]),Tabla20[#All],7,FALSE)</f>
        <v>8</v>
      </c>
      <c r="N25" s="16">
        <f>YEAR(Tabla27[[#This Row],[Fecha final]])</f>
        <v>2021</v>
      </c>
    </row>
    <row r="26" spans="1:14">
      <c r="A26" s="17">
        <v>44532</v>
      </c>
      <c r="B26" s="16" t="s">
        <v>60</v>
      </c>
      <c r="C26" s="16">
        <v>29</v>
      </c>
      <c r="D26" s="16" t="s">
        <v>42</v>
      </c>
      <c r="E26" s="16">
        <v>386</v>
      </c>
      <c r="F26" s="16">
        <v>283</v>
      </c>
      <c r="G26" s="16">
        <v>252</v>
      </c>
      <c r="H26" s="16">
        <f>Tabla27[[#This Row],[P1 + P4]]*VLOOKUP(MONTH(Tabla27[[#This Row],[Fecha final]]),Tabla20[#All],2,FALSE)</f>
        <v>386</v>
      </c>
      <c r="I26" s="16">
        <f>Tabla27[[#This Row],[P2 + P5]]*VLOOKUP(MONTH(Tabla27[[#This Row],[Fecha final]]),Tabla20[#All],3,FALSE)</f>
        <v>283</v>
      </c>
      <c r="J26" s="16">
        <f>(Tabla27[[#This Row],[P3 + P6]])*VLOOKUP(MONTH(Tabla27[[#This Row],[Fecha final]]),Tabla20[#All],4,FALSE)</f>
        <v>0</v>
      </c>
      <c r="K26" s="16">
        <f>Tabla27[[#This Row],[P1 + P4]]*VLOOKUP(MONTH(Tabla27[[#This Row],[Fecha final]]),Tabla20[#All],5,FALSE)</f>
        <v>0</v>
      </c>
      <c r="L26" s="16">
        <f>Tabla27[[#This Row],[P2 + P5]]*VLOOKUP(MONTH(Tabla27[[#This Row],[Fecha final]]),Tabla20[#All],6,FALSE)</f>
        <v>0</v>
      </c>
      <c r="M26" s="16">
        <f>Tabla27[[#This Row],[P3 + P6]]*VLOOKUP(MONTH(Tabla27[[#This Row],[Fecha final]]),Tabla20[#All],7,FALSE)</f>
        <v>252</v>
      </c>
      <c r="N26" s="16">
        <f>YEAR(Tabla27[[#This Row],[Fecha final]])</f>
        <v>2021</v>
      </c>
    </row>
    <row r="27" spans="1:14">
      <c r="A27" s="17">
        <v>44561</v>
      </c>
      <c r="B27" s="16" t="s">
        <v>61</v>
      </c>
      <c r="C27" s="16">
        <v>31</v>
      </c>
      <c r="D27" s="16" t="s">
        <v>42</v>
      </c>
      <c r="E27" s="16">
        <v>186</v>
      </c>
      <c r="F27" s="16">
        <v>94</v>
      </c>
      <c r="G27" s="16">
        <v>169</v>
      </c>
      <c r="H27" s="16">
        <f>Tabla27[[#This Row],[P1 + P4]]*VLOOKUP(MONTH(Tabla27[[#This Row],[Fecha final]]),Tabla20[#All],2,FALSE)</f>
        <v>186</v>
      </c>
      <c r="I27" s="16">
        <f>Tabla27[[#This Row],[P2 + P5]]*VLOOKUP(MONTH(Tabla27[[#This Row],[Fecha final]]),Tabla20[#All],3,FALSE)</f>
        <v>94</v>
      </c>
      <c r="J27" s="16">
        <f>(Tabla27[[#This Row],[P3 + P6]])*VLOOKUP(MONTH(Tabla27[[#This Row],[Fecha final]]),Tabla20[#All],4,FALSE)</f>
        <v>0</v>
      </c>
      <c r="K27" s="16">
        <f>Tabla27[[#This Row],[P1 + P4]]*VLOOKUP(MONTH(Tabla27[[#This Row],[Fecha final]]),Tabla20[#All],5,FALSE)</f>
        <v>0</v>
      </c>
      <c r="L27" s="16">
        <f>Tabla27[[#This Row],[P2 + P5]]*VLOOKUP(MONTH(Tabla27[[#This Row],[Fecha final]]),Tabla20[#All],6,FALSE)</f>
        <v>0</v>
      </c>
      <c r="M27" s="16">
        <f>Tabla27[[#This Row],[P3 + P6]]*VLOOKUP(MONTH(Tabla27[[#This Row],[Fecha final]]),Tabla20[#All],7,FALSE)</f>
        <v>169</v>
      </c>
      <c r="N27" s="16">
        <f>YEAR(Tabla27[[#This Row],[Fecha final]])</f>
        <v>2022</v>
      </c>
    </row>
    <row r="28" spans="1:14">
      <c r="A28" s="17">
        <v>44592</v>
      </c>
      <c r="B28" s="16" t="s">
        <v>62</v>
      </c>
      <c r="C28" s="16">
        <v>28</v>
      </c>
      <c r="D28" s="16" t="s">
        <v>42</v>
      </c>
      <c r="E28" s="16">
        <v>532</v>
      </c>
      <c r="F28" s="16">
        <v>282</v>
      </c>
      <c r="G28" s="16">
        <v>266</v>
      </c>
      <c r="H28" s="16">
        <f>Tabla27[[#This Row],[P1 + P4]]*VLOOKUP(MONTH(Tabla27[[#This Row],[Fecha final]]),Tabla20[#All],2,FALSE)</f>
        <v>532</v>
      </c>
      <c r="I28" s="16">
        <f>Tabla27[[#This Row],[P2 + P5]]*VLOOKUP(MONTH(Tabla27[[#This Row],[Fecha final]]),Tabla20[#All],3,FALSE)</f>
        <v>282</v>
      </c>
      <c r="J28" s="16">
        <f>(Tabla27[[#This Row],[P3 + P6]])*VLOOKUP(MONTH(Tabla27[[#This Row],[Fecha final]]),Tabla20[#All],4,FALSE)</f>
        <v>0</v>
      </c>
      <c r="K28" s="16">
        <f>Tabla27[[#This Row],[P1 + P4]]*VLOOKUP(MONTH(Tabla27[[#This Row],[Fecha final]]),Tabla20[#All],5,FALSE)</f>
        <v>0</v>
      </c>
      <c r="L28" s="16">
        <f>Tabla27[[#This Row],[P2 + P5]]*VLOOKUP(MONTH(Tabla27[[#This Row],[Fecha final]]),Tabla20[#All],6,FALSE)</f>
        <v>0</v>
      </c>
      <c r="M28" s="16">
        <f>Tabla27[[#This Row],[P3 + P6]]*VLOOKUP(MONTH(Tabla27[[#This Row],[Fecha final]]),Tabla20[#All],7,FALSE)</f>
        <v>266</v>
      </c>
      <c r="N28" s="16">
        <f>YEAR(Tabla27[[#This Row],[Fecha final]])</f>
        <v>2022</v>
      </c>
    </row>
    <row r="29" spans="1:14">
      <c r="A29" s="17">
        <v>44620</v>
      </c>
      <c r="B29" s="16" t="s">
        <v>63</v>
      </c>
      <c r="C29" s="16">
        <v>31</v>
      </c>
      <c r="D29" s="16" t="s">
        <v>42</v>
      </c>
      <c r="E29" s="16">
        <v>0</v>
      </c>
      <c r="F29" s="16">
        <v>497</v>
      </c>
      <c r="G29" s="16">
        <v>521</v>
      </c>
      <c r="H29" s="16">
        <f>Tabla27[[#This Row],[P1 + P4]]*VLOOKUP(MONTH(Tabla27[[#This Row],[Fecha final]]),Tabla20[#All],2,FALSE)</f>
        <v>0</v>
      </c>
      <c r="I29" s="16">
        <f>Tabla27[[#This Row],[P2 + P5]]*VLOOKUP(MONTH(Tabla27[[#This Row],[Fecha final]]),Tabla20[#All],3,FALSE)</f>
        <v>497</v>
      </c>
      <c r="J29" s="16">
        <f>(Tabla27[[#This Row],[P3 + P6]])*VLOOKUP(MONTH(Tabla27[[#This Row],[Fecha final]]),Tabla20[#All],4,FALSE)</f>
        <v>156.19580000000002</v>
      </c>
      <c r="K29" s="16">
        <f>Tabla27[[#This Row],[P1 + P4]]*VLOOKUP(MONTH(Tabla27[[#This Row],[Fecha final]]),Tabla20[#All],5,FALSE)</f>
        <v>0</v>
      </c>
      <c r="L29" s="16">
        <f>Tabla27[[#This Row],[P2 + P5]]*VLOOKUP(MONTH(Tabla27[[#This Row],[Fecha final]]),Tabla20[#All],6,FALSE)</f>
        <v>0</v>
      </c>
      <c r="M29" s="16">
        <f>Tabla27[[#This Row],[P3 + P6]]*VLOOKUP(MONTH(Tabla27[[#This Row],[Fecha final]]),Tabla20[#All],7,FALSE)</f>
        <v>364.80420000000004</v>
      </c>
      <c r="N29" s="16">
        <f>YEAR(Tabla27[[#This Row],[Fecha final]])</f>
        <v>2022</v>
      </c>
    </row>
    <row r="30" spans="1:14">
      <c r="A30" s="17">
        <v>44651</v>
      </c>
      <c r="B30" s="16" t="s">
        <v>65</v>
      </c>
      <c r="C30" s="16">
        <v>30</v>
      </c>
      <c r="D30" s="16" t="s">
        <v>42</v>
      </c>
      <c r="E30" s="16">
        <v>281</v>
      </c>
      <c r="F30" s="16">
        <v>158</v>
      </c>
      <c r="G30" s="16">
        <v>173</v>
      </c>
      <c r="H30" s="16">
        <f>Tabla27[[#This Row],[P1 + P4]]*VLOOKUP(MONTH(Tabla27[[#This Row],[Fecha final]]),Tabla20[#All],2,FALSE)</f>
        <v>0</v>
      </c>
      <c r="I30" s="16">
        <f>Tabla27[[#This Row],[P2 + P5]]*VLOOKUP(MONTH(Tabla27[[#This Row],[Fecha final]]),Tabla20[#All],3,FALSE)</f>
        <v>0</v>
      </c>
      <c r="J30" s="16">
        <f>(Tabla27[[#This Row],[P3 + P6]])*VLOOKUP(MONTH(Tabla27[[#This Row],[Fecha final]]),Tabla20[#All],4,FALSE)</f>
        <v>0</v>
      </c>
      <c r="K30" s="16">
        <f>Tabla27[[#This Row],[P1 + P4]]*VLOOKUP(MONTH(Tabla27[[#This Row],[Fecha final]]),Tabla20[#All],5,FALSE)</f>
        <v>281</v>
      </c>
      <c r="L30" s="16">
        <f>Tabla27[[#This Row],[P2 + P5]]*VLOOKUP(MONTH(Tabla27[[#This Row],[Fecha final]]),Tabla20[#All],6,FALSE)</f>
        <v>158</v>
      </c>
      <c r="M30" s="16">
        <f>Tabla27[[#This Row],[P3 + P6]]*VLOOKUP(MONTH(Tabla27[[#This Row],[Fecha final]]),Tabla20[#All],7,FALSE)</f>
        <v>173</v>
      </c>
      <c r="N30" s="16">
        <f>YEAR(Tabla27[[#This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370</v>
      </c>
      <c r="F31" s="16">
        <v>202</v>
      </c>
      <c r="G31" s="16">
        <v>208</v>
      </c>
      <c r="H31" s="16">
        <f>Tabla27[[#This Row],[P1 + P4]]*VLOOKUP(MONTH(Tabla27[[#This Row],[Fecha final]]),Tabla20[#All],2,FALSE)</f>
        <v>0</v>
      </c>
      <c r="I31" s="16">
        <f>Tabla27[[#This Row],[P2 + P5]]*VLOOKUP(MONTH(Tabla27[[#This Row],[Fecha final]]),Tabla20[#All],3,FALSE)</f>
        <v>0</v>
      </c>
      <c r="J31" s="16">
        <f>(Tabla27[[#This Row],[P3 + P6]])*VLOOKUP(MONTH(Tabla27[[#This Row],[Fecha final]]),Tabla20[#All],4,FALSE)</f>
        <v>0</v>
      </c>
      <c r="K31" s="16">
        <f>Tabla27[[#This Row],[P1 + P4]]*VLOOKUP(MONTH(Tabla27[[#This Row],[Fecha final]]),Tabla20[#All],5,FALSE)</f>
        <v>370</v>
      </c>
      <c r="L31" s="16">
        <f>Tabla27[[#This Row],[P2 + P5]]*VLOOKUP(MONTH(Tabla27[[#This Row],[Fecha final]]),Tabla20[#All],6,FALSE)</f>
        <v>202</v>
      </c>
      <c r="M31" s="16">
        <f>Tabla27[[#This Row],[P3 + P6]]*VLOOKUP(MONTH(Tabla27[[#This Row],[Fecha final]]),Tabla20[#All],7,FALSE)</f>
        <v>208</v>
      </c>
      <c r="N31" s="16">
        <f>YEAR(Tabla27[[#This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170</v>
      </c>
      <c r="F32" s="16">
        <v>0</v>
      </c>
      <c r="G32" s="16">
        <v>590</v>
      </c>
      <c r="H32" s="16">
        <f>Tabla27[[#This Row],[P1 + P4]]*VLOOKUP(MONTH(Tabla27[[#This Row],[Fecha final]]),Tabla20[#All],2,FALSE)</f>
        <v>0</v>
      </c>
      <c r="I32" s="16">
        <f>Tabla27[[#This Row],[P2 + P5]]*VLOOKUP(MONTH(Tabla27[[#This Row],[Fecha final]]),Tabla20[#All],3,FALSE)</f>
        <v>0</v>
      </c>
      <c r="J32" s="16">
        <f>(Tabla27[[#This Row],[P3 + P6]])*VLOOKUP(MONTH(Tabla27[[#This Row],[Fecha final]]),Tabla20[#All],4,FALSE)</f>
        <v>206.38200000000001</v>
      </c>
      <c r="K32" s="16">
        <f>Tabla27[[#This Row],[P1 + P4]]*VLOOKUP(MONTH(Tabla27[[#This Row],[Fecha final]]),Tabla20[#All],5,FALSE)</f>
        <v>170</v>
      </c>
      <c r="L32" s="16">
        <f>Tabla27[[#This Row],[P2 + P5]]*VLOOKUP(MONTH(Tabla27[[#This Row],[Fecha final]]),Tabla20[#All],6,FALSE)</f>
        <v>0</v>
      </c>
      <c r="M32" s="16">
        <f>Tabla27[[#This Row],[P3 + P6]]*VLOOKUP(MONTH(Tabla27[[#This Row],[Fecha final]]),Tabla20[#All],7,FALSE)</f>
        <v>383.61799999999999</v>
      </c>
      <c r="N32" s="16">
        <f>YEAR(Tabla27[[#This Row],[Fecha final]])</f>
        <v>2022</v>
      </c>
    </row>
    <row r="33" spans="1:14">
      <c r="A33" s="17">
        <v>44742</v>
      </c>
      <c r="B33" s="16" t="s">
        <v>295</v>
      </c>
      <c r="C33" s="16">
        <v>29</v>
      </c>
      <c r="D33" s="16" t="s">
        <v>42</v>
      </c>
      <c r="E33" s="16">
        <v>111</v>
      </c>
      <c r="F33" s="16">
        <v>77</v>
      </c>
      <c r="G33" s="16">
        <v>193</v>
      </c>
      <c r="H33" s="16">
        <f>Tabla27[[#This Row],[P1 + P4]]*VLOOKUP(MONTH(Tabla27[[#This Row],[Fecha final]]),Tabla20[#All],2,FALSE)</f>
        <v>111</v>
      </c>
      <c r="I33" s="16">
        <f>Tabla27[[#This Row],[P2 + P5]]*VLOOKUP(MONTH(Tabla27[[#This Row],[Fecha final]]),Tabla20[#All],3,FALSE)</f>
        <v>77</v>
      </c>
      <c r="J33" s="16">
        <f>(Tabla27[[#This Row],[P3 + P6]])*VLOOKUP(MONTH(Tabla27[[#This Row],[Fecha final]]),Tabla20[#All],4,FALSE)</f>
        <v>0</v>
      </c>
      <c r="K33" s="16">
        <f>Tabla27[[#This Row],[P1 + P4]]*VLOOKUP(MONTH(Tabla27[[#This Row],[Fecha final]]),Tabla20[#All],5,FALSE)</f>
        <v>0</v>
      </c>
      <c r="L33" s="16">
        <f>Tabla27[[#This Row],[P2 + P5]]*VLOOKUP(MONTH(Tabla27[[#This Row],[Fecha final]]),Tabla20[#All],6,FALSE)</f>
        <v>0</v>
      </c>
      <c r="M33" s="16">
        <f>Tabla27[[#This Row],[P3 + P6]]*VLOOKUP(MONTH(Tabla27[[#This Row],[Fecha final]]),Tabla20[#All],7,FALSE)</f>
        <v>193</v>
      </c>
      <c r="N33" s="16">
        <f>YEAR(Tabla27[[#This Row],[Fecha final]])</f>
        <v>2022</v>
      </c>
    </row>
    <row r="34" spans="1:14">
      <c r="A34" s="17">
        <v>44771</v>
      </c>
      <c r="B34" s="16" t="s">
        <v>69</v>
      </c>
      <c r="C34" s="16">
        <v>33</v>
      </c>
      <c r="D34" s="16" t="s">
        <v>42</v>
      </c>
      <c r="E34" s="16">
        <v>97</v>
      </c>
      <c r="F34" s="16">
        <v>0</v>
      </c>
      <c r="G34" s="16">
        <v>399</v>
      </c>
      <c r="H34" s="16">
        <f>Tabla27[[#This Row],[P1 + P4]]*VLOOKUP(MONTH(Tabla27[[#This Row],[Fecha final]]),Tabla20[#All],2,FALSE)</f>
        <v>0</v>
      </c>
      <c r="I34" s="16">
        <f>Tabla27[[#This Row],[P2 + P5]]*VLOOKUP(MONTH(Tabla27[[#This Row],[Fecha final]]),Tabla20[#All],3,FALSE)</f>
        <v>0</v>
      </c>
      <c r="J34" s="16">
        <f>(Tabla27[[#This Row],[P3 + P6]])*VLOOKUP(MONTH(Tabla27[[#This Row],[Fecha final]]),Tabla20[#All],4,FALSE)</f>
        <v>133.90440000000001</v>
      </c>
      <c r="K34" s="16">
        <f>Tabla27[[#This Row],[P1 + P4]]*VLOOKUP(MONTH(Tabla27[[#This Row],[Fecha final]]),Tabla20[#All],5,FALSE)</f>
        <v>97</v>
      </c>
      <c r="L34" s="16">
        <f>Tabla27[[#This Row],[P2 + P5]]*VLOOKUP(MONTH(Tabla27[[#This Row],[Fecha final]]),Tabla20[#All],6,FALSE)</f>
        <v>0</v>
      </c>
      <c r="M34" s="16">
        <f>Tabla27[[#This Row],[P3 + P6]]*VLOOKUP(MONTH(Tabla27[[#This Row],[Fecha final]]),Tabla20[#All],7,FALSE)</f>
        <v>265.09559999999999</v>
      </c>
      <c r="N34" s="16">
        <f>YEAR(Tabla27[[#This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91</v>
      </c>
      <c r="F35" s="16">
        <v>0</v>
      </c>
      <c r="G35" s="16">
        <v>327</v>
      </c>
      <c r="H35" s="16">
        <f>Tabla27[[#This Row],[P1 + P4]]*VLOOKUP(MONTH(Tabla27[[#This Row],[Fecha final]]),Tabla20[#All],2,FALSE)</f>
        <v>0</v>
      </c>
      <c r="I35" s="16">
        <f>Tabla27[[#This Row],[P2 + P5]]*VLOOKUP(MONTH(Tabla27[[#This Row],[Fecha final]]),Tabla20[#All],3,FALSE)</f>
        <v>0</v>
      </c>
      <c r="J35" s="16">
        <f>(Tabla27[[#This Row],[P3 + P6]])*VLOOKUP(MONTH(Tabla27[[#This Row],[Fecha final]]),Tabla20[#All],4,FALSE)</f>
        <v>114.38460000000001</v>
      </c>
      <c r="K35" s="16">
        <f>Tabla27[[#This Row],[P1 + P4]]*VLOOKUP(MONTH(Tabla27[[#This Row],[Fecha final]]),Tabla20[#All],5,FALSE)</f>
        <v>91</v>
      </c>
      <c r="L35" s="16">
        <f>Tabla27[[#This Row],[P2 + P5]]*VLOOKUP(MONTH(Tabla27[[#This Row],[Fecha final]]),Tabla20[#All],6,FALSE)</f>
        <v>0</v>
      </c>
      <c r="M35" s="16">
        <f>Tabla27[[#This Row],[P3 + P6]]*VLOOKUP(MONTH(Tabla27[[#This Row],[Fecha final]]),Tabla20[#All],7,FALSE)</f>
        <v>212.61539999999999</v>
      </c>
      <c r="N35" s="16">
        <f>YEAR(Tabla27[[#This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79</v>
      </c>
      <c r="F36" s="16">
        <v>63</v>
      </c>
      <c r="G36" s="16">
        <v>189</v>
      </c>
      <c r="H36" s="16">
        <f>Tabla27[[#This Row],[P1 + P4]]*VLOOKUP(MONTH(Tabla27[[#This Row],[Fecha final]]),Tabla20[#All],2,FALSE)</f>
        <v>0</v>
      </c>
      <c r="I36" s="16">
        <f>Tabla27[[#This Row],[P2 + P5]]*VLOOKUP(MONTH(Tabla27[[#This Row],[Fecha final]]),Tabla20[#All],3,FALSE)</f>
        <v>0</v>
      </c>
      <c r="J36" s="16">
        <f>(Tabla27[[#This Row],[P3 + P6]])*VLOOKUP(MONTH(Tabla27[[#This Row],[Fecha final]]),Tabla20[#All],4,FALSE)</f>
        <v>0</v>
      </c>
      <c r="K36" s="16">
        <f>Tabla27[[#This Row],[P1 + P4]]*VLOOKUP(MONTH(Tabla27[[#This Row],[Fecha final]]),Tabla20[#All],5,FALSE)</f>
        <v>79</v>
      </c>
      <c r="L36" s="16">
        <f>Tabla27[[#This Row],[P2 + P5]]*VLOOKUP(MONTH(Tabla27[[#This Row],[Fecha final]]),Tabla20[#All],6,FALSE)</f>
        <v>63</v>
      </c>
      <c r="M36" s="16">
        <f>Tabla27[[#This Row],[P3 + P6]]*VLOOKUP(MONTH(Tabla27[[#This Row],[Fecha final]]),Tabla20[#All],7,FALSE)</f>
        <v>189</v>
      </c>
      <c r="N36" s="16">
        <f>YEAR(Tabla27[[#This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19</v>
      </c>
      <c r="G37" s="16">
        <v>52</v>
      </c>
      <c r="H37" s="16">
        <f>Tabla27[[#This Row],[P1 + P4]]*VLOOKUP(MONTH(Tabla27[[#This Row],[Fecha final]]),Tabla20[#All],2,FALSE)</f>
        <v>0</v>
      </c>
      <c r="I37" s="16">
        <f>Tabla27[[#This Row],[P2 + P5]]*VLOOKUP(MONTH(Tabla27[[#This Row],[Fecha final]]),Tabla20[#All],3,FALSE)</f>
        <v>19</v>
      </c>
      <c r="J37" s="16">
        <f>(Tabla27[[#This Row],[P3 + P6]])*VLOOKUP(MONTH(Tabla27[[#This Row],[Fecha final]]),Tabla20[#All],4,FALSE)</f>
        <v>14.393599999999999</v>
      </c>
      <c r="K37" s="16">
        <f>Tabla27[[#This Row],[P1 + P4]]*VLOOKUP(MONTH(Tabla27[[#This Row],[Fecha final]]),Tabla20[#All],5,FALSE)</f>
        <v>0</v>
      </c>
      <c r="L37" s="16">
        <f>Tabla27[[#This Row],[P2 + P5]]*VLOOKUP(MONTH(Tabla27[[#This Row],[Fecha final]]),Tabla20[#All],6,FALSE)</f>
        <v>0</v>
      </c>
      <c r="M37" s="16">
        <f>Tabla27[[#This Row],[P3 + P6]]*VLOOKUP(MONTH(Tabla27[[#This Row],[Fecha final]]),Tabla20[#All],7,FALSE)</f>
        <v>37.606400000000001</v>
      </c>
      <c r="N37" s="16">
        <f>YEAR(Tabla27[[#This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13</v>
      </c>
      <c r="F38" s="16">
        <v>15</v>
      </c>
      <c r="G38" s="16">
        <v>42</v>
      </c>
      <c r="H38" s="16">
        <f>Tabla27[[#This Row],[P1 + P4]]*VLOOKUP(MONTH(Tabla27[[#This Row],[Fecha final]]),Tabla20[#All],2,FALSE)</f>
        <v>13</v>
      </c>
      <c r="I38" s="16">
        <f>Tabla27[[#This Row],[P2 + P5]]*VLOOKUP(MONTH(Tabla27[[#This Row],[Fecha final]]),Tabla20[#All],3,FALSE)</f>
        <v>15</v>
      </c>
      <c r="J38" s="16">
        <f>(Tabla27[[#This Row],[P3 + P6]])*VLOOKUP(MONTH(Tabla27[[#This Row],[Fecha final]]),Tabla20[#All],4,FALSE)</f>
        <v>0</v>
      </c>
      <c r="K38" s="16">
        <f>Tabla27[[#This Row],[P1 + P4]]*VLOOKUP(MONTH(Tabla27[[#This Row],[Fecha final]]),Tabla20[#All],5,FALSE)</f>
        <v>0</v>
      </c>
      <c r="L38" s="16">
        <f>Tabla27[[#This Row],[P2 + P5]]*VLOOKUP(MONTH(Tabla27[[#This Row],[Fecha final]]),Tabla20[#All],6,FALSE)</f>
        <v>0</v>
      </c>
      <c r="M38" s="16">
        <f>Tabla27[[#This Row],[P3 + P6]]*VLOOKUP(MONTH(Tabla27[[#This Row],[Fecha final]]),Tabla20[#All],7,FALSE)</f>
        <v>42</v>
      </c>
      <c r="N38" s="16">
        <f>YEAR(Tabla27[[#This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15</v>
      </c>
      <c r="F39" s="16">
        <v>14</v>
      </c>
      <c r="G39" s="16">
        <v>40</v>
      </c>
      <c r="H39" s="16">
        <f>Tabla27[[#This Row],[P1 + P4]]*VLOOKUP(MONTH(Tabla27[[#This Row],[Fecha final]]),Tabla20[#All],2,FALSE)</f>
        <v>15</v>
      </c>
      <c r="I39" s="16">
        <f>Tabla27[[#This Row],[P2 + P5]]*VLOOKUP(MONTH(Tabla27[[#This Row],[Fecha final]]),Tabla20[#All],3,FALSE)</f>
        <v>14</v>
      </c>
      <c r="J39" s="16">
        <f>(Tabla27[[#This Row],[P3 + P6]])*VLOOKUP(MONTH(Tabla27[[#This Row],[Fecha final]]),Tabla20[#All],4,FALSE)</f>
        <v>0</v>
      </c>
      <c r="K39" s="16">
        <f>Tabla27[[#This Row],[P1 + P4]]*VLOOKUP(MONTH(Tabla27[[#This Row],[Fecha final]]),Tabla20[#All],5,FALSE)</f>
        <v>0</v>
      </c>
      <c r="L39" s="16">
        <f>Tabla27[[#This Row],[P2 + P5]]*VLOOKUP(MONTH(Tabla27[[#This Row],[Fecha final]]),Tabla20[#All],6,FALSE)</f>
        <v>0</v>
      </c>
      <c r="M39" s="16">
        <f>Tabla27[[#This Row],[P3 + P6]]*VLOOKUP(MONTH(Tabla27[[#This Row],[Fecha final]]),Tabla20[#All],7,FALSE)</f>
        <v>40</v>
      </c>
      <c r="N39" s="16">
        <f>YEAR(Tabla27[[#This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19</v>
      </c>
      <c r="F40" s="16">
        <v>7</v>
      </c>
      <c r="G40" s="16">
        <v>36</v>
      </c>
      <c r="H40" s="16">
        <f>Tabla27[[#This Row],[P1 + P4]]*VLOOKUP(MONTH(Tabla27[[#This Row],[Fecha final]]),Tabla20[#All],2,FALSE)</f>
        <v>19</v>
      </c>
      <c r="I40" s="16">
        <f>Tabla27[[#This Row],[P2 + P5]]*VLOOKUP(MONTH(Tabla27[[#This Row],[Fecha final]]),Tabla20[#All],3,FALSE)</f>
        <v>7</v>
      </c>
      <c r="J40" s="16">
        <f>(Tabla27[[#This Row],[P3 + P6]])*VLOOKUP(MONTH(Tabla27[[#This Row],[Fecha final]]),Tabla20[#All],4,FALSE)</f>
        <v>0</v>
      </c>
      <c r="K40" s="16">
        <f>Tabla27[[#This Row],[P1 + P4]]*VLOOKUP(MONTH(Tabla27[[#This Row],[Fecha final]]),Tabla20[#All],5,FALSE)</f>
        <v>0</v>
      </c>
      <c r="L40" s="16">
        <f>Tabla27[[#This Row],[P2 + P5]]*VLOOKUP(MONTH(Tabla27[[#This Row],[Fecha final]]),Tabla20[#All],6,FALSE)</f>
        <v>0</v>
      </c>
      <c r="M40" s="16">
        <f>Tabla27[[#This Row],[P3 + P6]]*VLOOKUP(MONTH(Tabla27[[#This Row],[Fecha final]]),Tabla20[#All],7,FALSE)</f>
        <v>36</v>
      </c>
      <c r="N40" s="16">
        <f>YEAR(Tabla27[[#This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19</v>
      </c>
      <c r="G41" s="16">
        <v>50</v>
      </c>
      <c r="H41" s="16">
        <f>Tabla27[[#This Row],[P1 + P4]]*VLOOKUP(MONTH(Tabla27[[#This Row],[Fecha final]]),Tabla20[#All],2,FALSE)</f>
        <v>0</v>
      </c>
      <c r="I41" s="16">
        <f>Tabla27[[#This Row],[P2 + P5]]*VLOOKUP(MONTH(Tabla27[[#This Row],[Fecha final]]),Tabla20[#All],3,FALSE)</f>
        <v>19</v>
      </c>
      <c r="J41" s="16">
        <f>(Tabla27[[#This Row],[P3 + P6]])*VLOOKUP(MONTH(Tabla27[[#This Row],[Fecha final]]),Tabla20[#All],4,FALSE)</f>
        <v>14.99</v>
      </c>
      <c r="K41" s="16">
        <f>Tabla27[[#This Row],[P1 + P4]]*VLOOKUP(MONTH(Tabla27[[#This Row],[Fecha final]]),Tabla20[#All],5,FALSE)</f>
        <v>0</v>
      </c>
      <c r="L41" s="16">
        <f>Tabla27[[#This Row],[P2 + P5]]*VLOOKUP(MONTH(Tabla27[[#This Row],[Fecha final]]),Tabla20[#All],6,FALSE)</f>
        <v>0</v>
      </c>
      <c r="M41" s="16">
        <f>Tabla27[[#This Row],[P3 + P6]]*VLOOKUP(MONTH(Tabla27[[#This Row],[Fecha final]]),Tabla20[#All],7,FALSE)</f>
        <v>35.010000000000005</v>
      </c>
      <c r="N41" s="16">
        <f>YEAR(Tabla27[[#This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295</v>
      </c>
      <c r="B54" s="16" t="s">
        <v>69</v>
      </c>
      <c r="C54" s="16">
        <v>33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295</v>
      </c>
      <c r="C55" s="16">
        <v>29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136</v>
      </c>
      <c r="B71" s="16" t="s">
        <v>50</v>
      </c>
      <c r="C71" s="16">
        <v>25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367</v>
      </c>
      <c r="B72" s="16" t="s">
        <v>136</v>
      </c>
      <c r="C72" s="16">
        <v>34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46</v>
      </c>
      <c r="B73" s="16" t="s">
        <v>367</v>
      </c>
      <c r="C73" s="16">
        <v>30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0</v>
      </c>
      <c r="F74" s="16">
        <v>1</v>
      </c>
      <c r="G74" s="16">
        <v>0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0</v>
      </c>
      <c r="F75" s="16">
        <v>1</v>
      </c>
      <c r="G75" s="16">
        <v>0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1</v>
      </c>
      <c r="F78" s="16">
        <v>0</v>
      </c>
      <c r="G78" s="16">
        <v>0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5</v>
      </c>
      <c r="F80" s="16">
        <v>3</v>
      </c>
      <c r="G80" s="16">
        <v>0</v>
      </c>
    </row>
    <row r="81" spans="1:7">
      <c r="A81" s="16" t="s">
        <v>368</v>
      </c>
      <c r="B81" s="16" t="s">
        <v>89</v>
      </c>
      <c r="C81" s="16">
        <v>29</v>
      </c>
      <c r="D81" s="16" t="s">
        <v>42</v>
      </c>
      <c r="E81" s="16">
        <v>1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19.72</v>
      </c>
      <c r="C87" s="16">
        <v>19.72</v>
      </c>
      <c r="D87" s="16">
        <v>19.72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</v>
      </c>
      <c r="G89" s="16">
        <v>1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0</v>
      </c>
      <c r="F92" s="16">
        <v>1</v>
      </c>
      <c r="G92" s="16">
        <v>0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0</v>
      </c>
      <c r="G93" s="16">
        <v>3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1</v>
      </c>
      <c r="F94" s="16">
        <v>1</v>
      </c>
      <c r="G94" s="16">
        <v>1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</v>
      </c>
      <c r="F95" s="16">
        <v>0</v>
      </c>
      <c r="G95" s="16">
        <v>0</v>
      </c>
    </row>
    <row r="96" spans="1:7">
      <c r="A96" s="16" t="s">
        <v>295</v>
      </c>
      <c r="B96" s="16" t="s">
        <v>69</v>
      </c>
      <c r="C96" s="16">
        <v>33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67</v>
      </c>
      <c r="B97" s="16" t="s">
        <v>295</v>
      </c>
      <c r="C97" s="16">
        <v>29</v>
      </c>
      <c r="D97" s="16" t="s">
        <v>42</v>
      </c>
      <c r="E97" s="16">
        <v>1</v>
      </c>
      <c r="F97" s="16">
        <v>1</v>
      </c>
      <c r="G97" s="16">
        <v>1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7</v>
      </c>
      <c r="F98" s="16">
        <v>0</v>
      </c>
      <c r="G98" s="16">
        <v>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6</v>
      </c>
      <c r="F99" s="16">
        <v>6</v>
      </c>
      <c r="G99" s="16">
        <v>2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4</v>
      </c>
      <c r="F100" s="16">
        <v>5</v>
      </c>
      <c r="G100" s="16">
        <v>2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7</v>
      </c>
      <c r="G101" s="16">
        <v>7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9</v>
      </c>
      <c r="F102" s="16">
        <v>9</v>
      </c>
      <c r="G102" s="16">
        <v>5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7</v>
      </c>
      <c r="F103" s="16">
        <v>4</v>
      </c>
      <c r="G103" s="16">
        <v>1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8</v>
      </c>
      <c r="F104" s="16">
        <v>8</v>
      </c>
      <c r="G104" s="16">
        <v>4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19.72</v>
      </c>
      <c r="F105" s="16">
        <v>19.72</v>
      </c>
      <c r="G105" s="16">
        <v>19.72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19.72</v>
      </c>
      <c r="F106" s="16">
        <v>19.72</v>
      </c>
      <c r="G106" s="16">
        <v>19.72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19.72</v>
      </c>
      <c r="F107" s="16">
        <v>19.72</v>
      </c>
      <c r="G107" s="16">
        <v>19.72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19.72</v>
      </c>
      <c r="F108" s="16">
        <v>19.72</v>
      </c>
      <c r="G108" s="16">
        <v>19.72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19.72</v>
      </c>
      <c r="F109" s="16">
        <v>19.72</v>
      </c>
      <c r="G109" s="16">
        <v>19.72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19.72</v>
      </c>
      <c r="F110" s="16">
        <v>19.72</v>
      </c>
      <c r="G110" s="16">
        <v>19.72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19.72</v>
      </c>
      <c r="F111" s="16">
        <v>19.72</v>
      </c>
      <c r="G111" s="16">
        <v>19.72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1</v>
      </c>
      <c r="F112" s="16">
        <v>1</v>
      </c>
      <c r="G112" s="16">
        <v>0</v>
      </c>
    </row>
    <row r="113" spans="1:7">
      <c r="A113" s="16" t="s">
        <v>136</v>
      </c>
      <c r="B113" s="16" t="s">
        <v>50</v>
      </c>
      <c r="C113" s="16">
        <v>25</v>
      </c>
      <c r="D113" s="16" t="s">
        <v>42</v>
      </c>
      <c r="E113" s="16">
        <v>1</v>
      </c>
      <c r="F113" s="16">
        <v>1</v>
      </c>
      <c r="G113" s="16">
        <v>0</v>
      </c>
    </row>
    <row r="114" spans="1:7">
      <c r="A114" s="16" t="s">
        <v>367</v>
      </c>
      <c r="B114" s="16" t="s">
        <v>136</v>
      </c>
      <c r="C114" s="16">
        <v>34</v>
      </c>
      <c r="D114" s="16" t="s">
        <v>42</v>
      </c>
      <c r="E114" s="16">
        <v>3</v>
      </c>
      <c r="F114" s="16">
        <v>7</v>
      </c>
      <c r="G114" s="16">
        <v>4</v>
      </c>
    </row>
    <row r="115" spans="1:7">
      <c r="A115" s="16" t="s">
        <v>46</v>
      </c>
      <c r="B115" s="16" t="s">
        <v>367</v>
      </c>
      <c r="C115" s="16">
        <v>30</v>
      </c>
      <c r="D115" s="16" t="s">
        <v>42</v>
      </c>
      <c r="E115" s="16">
        <v>4</v>
      </c>
      <c r="F115" s="16">
        <v>8</v>
      </c>
      <c r="G115" s="16">
        <v>4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6</v>
      </c>
      <c r="F116" s="16">
        <v>12</v>
      </c>
      <c r="G116" s="16">
        <v>8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2</v>
      </c>
      <c r="F117" s="16">
        <v>9</v>
      </c>
      <c r="G117" s="16">
        <v>2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2</v>
      </c>
      <c r="F118" s="16">
        <v>4</v>
      </c>
      <c r="G118" s="16">
        <v>2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4</v>
      </c>
      <c r="F119" s="16">
        <v>5</v>
      </c>
      <c r="G119" s="16">
        <v>2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9</v>
      </c>
      <c r="F120" s="16">
        <v>9</v>
      </c>
      <c r="G120" s="16">
        <v>5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9</v>
      </c>
      <c r="F121" s="16">
        <v>10</v>
      </c>
      <c r="G121" s="16">
        <v>6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13</v>
      </c>
      <c r="F122" s="16">
        <v>11</v>
      </c>
      <c r="G122" s="16">
        <v>8</v>
      </c>
    </row>
    <row r="123" spans="1:7">
      <c r="A123" s="16" t="s">
        <v>368</v>
      </c>
      <c r="B123" s="16" t="s">
        <v>89</v>
      </c>
      <c r="C123" s="16">
        <v>29</v>
      </c>
      <c r="D123" s="16" t="s">
        <v>42</v>
      </c>
      <c r="E123" s="16">
        <v>10</v>
      </c>
      <c r="F123" s="16">
        <v>9</v>
      </c>
      <c r="G123" s="16">
        <v>5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2C0D-8E11-478F-813D-F84174C1A933}">
  <dimension ref="A1:N129"/>
  <sheetViews>
    <sheetView topLeftCell="A4" workbookViewId="0">
      <selection activeCell="K14" sqref="K14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7" width="8.6640625" style="16"/>
    <col min="18" max="18" width="11.33203125" style="16" bestFit="1" customWidth="1"/>
    <col min="19" max="16384" width="8.6640625" style="16"/>
  </cols>
  <sheetData>
    <row r="1" spans="1:14">
      <c r="A1" s="16" t="s">
        <v>30</v>
      </c>
    </row>
    <row r="3" spans="1:14">
      <c r="A3" s="16" t="s">
        <v>31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44940</v>
      </c>
      <c r="C4" s="16">
        <v>32701</v>
      </c>
      <c r="D4" s="16">
        <v>75653</v>
      </c>
    </row>
    <row r="5" spans="1:14">
      <c r="A5" s="16" t="s">
        <v>36</v>
      </c>
      <c r="B5" s="16">
        <v>29</v>
      </c>
      <c r="C5" s="16">
        <v>21</v>
      </c>
      <c r="D5" s="16">
        <v>50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44074</v>
      </c>
      <c r="B7" s="16" t="s">
        <v>41</v>
      </c>
      <c r="C7" s="16">
        <v>30</v>
      </c>
      <c r="D7" s="16" t="s">
        <v>42</v>
      </c>
      <c r="E7" s="16">
        <v>3428</v>
      </c>
      <c r="F7" s="16">
        <v>7065</v>
      </c>
      <c r="G7" s="16">
        <v>2889</v>
      </c>
      <c r="H7" s="16">
        <f>Tabla13[[#This Row],[P1 + P4]]*VLOOKUP(MONTH(Tabla13[[#This Row],[Fecha final]]),Tabla20[#All],2,FALSE)</f>
        <v>0</v>
      </c>
      <c r="I7" s="16">
        <f>Tabla13[[#This Row],[P2 + P5]]*VLOOKUP(MONTH(Tabla13[[#This Row],[Fecha final]]),Tabla20[#All],3,FALSE)</f>
        <v>0</v>
      </c>
      <c r="J7" s="16">
        <f>(Tabla13[[#This Row],[P3 + P6]])*VLOOKUP(MONTH(Tabla13[[#This Row],[Fecha final]]),Tabla20[#All],4,FALSE)</f>
        <v>1010.5722</v>
      </c>
      <c r="K7" s="16">
        <f>Tabla13[[#This Row],[P1 + P4]]*VLOOKUP(MONTH(Tabla13[[#This Row],[Fecha final]]),Tabla20[#All],5,FALSE)</f>
        <v>3428</v>
      </c>
      <c r="L7" s="16">
        <f>Tabla13[[#This Row],[P2 + P5]]*VLOOKUP(MONTH(Tabla13[[#This Row],[Fecha final]]),Tabla20[#All],6,FALSE)</f>
        <v>0</v>
      </c>
      <c r="M7" s="16">
        <f>Tabla13[[#This Row],[P3 + P6]]*VLOOKUP(MONTH(Tabla13[[#This Row],[Fecha final]]),Tabla20[#All],7,FALSE)</f>
        <v>1878.4277999999999</v>
      </c>
      <c r="N7" s="16">
        <f>YEAR(Tabla13[[#This Row],[Fecha final]])</f>
        <v>2020</v>
      </c>
    </row>
    <row r="8" spans="1:14">
      <c r="A8" s="17">
        <v>44104</v>
      </c>
      <c r="B8" s="16" t="s">
        <v>43</v>
      </c>
      <c r="C8" s="16">
        <v>31</v>
      </c>
      <c r="D8" s="16" t="s">
        <v>42</v>
      </c>
      <c r="E8" s="16">
        <v>2744</v>
      </c>
      <c r="F8" s="16">
        <v>6627</v>
      </c>
      <c r="G8" s="16">
        <v>2765</v>
      </c>
      <c r="H8" s="16">
        <f>Tabla13[[#This Row],[P1 + P4]]*VLOOKUP(MONTH(Tabla13[[#This Row],[Fecha final]]),Tabla20[#All],2,FALSE)</f>
        <v>0</v>
      </c>
      <c r="I8" s="16">
        <f>Tabla13[[#This Row],[P2 + P5]]*VLOOKUP(MONTH(Tabla13[[#This Row],[Fecha final]]),Tabla20[#All],3,FALSE)</f>
        <v>0</v>
      </c>
      <c r="J8" s="16">
        <f>(Tabla13[[#This Row],[P3 + P6]])*VLOOKUP(MONTH(Tabla13[[#This Row],[Fecha final]]),Tabla20[#All],4,FALSE)</f>
        <v>0</v>
      </c>
      <c r="K8" s="16">
        <f>Tabla13[[#This Row],[P1 + P4]]*VLOOKUP(MONTH(Tabla13[[#This Row],[Fecha final]]),Tabla20[#All],5,FALSE)</f>
        <v>2744</v>
      </c>
      <c r="L8" s="16">
        <f>Tabla13[[#This Row],[P2 + P5]]*VLOOKUP(MONTH(Tabla13[[#This Row],[Fecha final]]),Tabla20[#All],6,FALSE)</f>
        <v>6627</v>
      </c>
      <c r="M8" s="16">
        <f>Tabla13[[#This Row],[P3 + P6]]*VLOOKUP(MONTH(Tabla13[[#This Row],[Fecha final]]),Tabla20[#All],7,FALSE)</f>
        <v>2765</v>
      </c>
      <c r="N8" s="16">
        <f>YEAR(Tabla13[[#This Row],[Fecha final]])</f>
        <v>2020</v>
      </c>
    </row>
    <row r="9" spans="1:14">
      <c r="A9" s="17">
        <v>44135</v>
      </c>
      <c r="B9" s="16" t="s">
        <v>44</v>
      </c>
      <c r="C9" s="16">
        <v>30</v>
      </c>
      <c r="D9" s="16" t="s">
        <v>42</v>
      </c>
      <c r="E9" s="16">
        <v>1577</v>
      </c>
      <c r="F9" s="16">
        <v>7758</v>
      </c>
      <c r="G9" s="16">
        <v>2844</v>
      </c>
      <c r="H9" s="16">
        <f>Tabla13[[#This Row],[P1 + P4]]*VLOOKUP(MONTH(Tabla13[[#This Row],[Fecha final]]),Tabla20[#All],2,FALSE)</f>
        <v>0</v>
      </c>
      <c r="I9" s="16">
        <f>Tabla13[[#This Row],[P2 + P5]]*VLOOKUP(MONTH(Tabla13[[#This Row],[Fecha final]]),Tabla20[#All],3,FALSE)</f>
        <v>7758</v>
      </c>
      <c r="J9" s="16">
        <f>(Tabla13[[#This Row],[P3 + P6]])*VLOOKUP(MONTH(Tabla13[[#This Row],[Fecha final]]),Tabla20[#All],4,FALSE)</f>
        <v>787.2192</v>
      </c>
      <c r="K9" s="16">
        <f>Tabla13[[#This Row],[P1 + P4]]*VLOOKUP(MONTH(Tabla13[[#This Row],[Fecha final]]),Tabla20[#All],5,FALSE)</f>
        <v>0</v>
      </c>
      <c r="L9" s="16">
        <f>Tabla13[[#This Row],[P2 + P5]]*VLOOKUP(MONTH(Tabla13[[#This Row],[Fecha final]]),Tabla20[#All],6,FALSE)</f>
        <v>0</v>
      </c>
      <c r="M9" s="16">
        <f>Tabla13[[#This Row],[P3 + P6]]*VLOOKUP(MONTH(Tabla13[[#This Row],[Fecha final]]),Tabla20[#All],7,FALSE)</f>
        <v>2056.7808</v>
      </c>
      <c r="N9" s="16">
        <f>YEAR(Tabla13[[#This Row],[Fecha final]])</f>
        <v>2020</v>
      </c>
    </row>
    <row r="10" spans="1:14">
      <c r="A10" s="17">
        <v>44165</v>
      </c>
      <c r="B10" s="16" t="s">
        <v>45</v>
      </c>
      <c r="C10" s="16">
        <v>31</v>
      </c>
      <c r="D10" s="16" t="s">
        <v>42</v>
      </c>
      <c r="E10" s="16">
        <v>1961</v>
      </c>
      <c r="F10" s="16">
        <v>9728</v>
      </c>
      <c r="G10" s="16">
        <v>3599</v>
      </c>
      <c r="H10" s="16">
        <f>Tabla13[[#This Row],[P1 + P4]]*VLOOKUP(MONTH(Tabla13[[#This Row],[Fecha final]]),Tabla20[#All],2,FALSE)</f>
        <v>1961</v>
      </c>
      <c r="I10" s="16">
        <f>Tabla13[[#This Row],[P2 + P5]]*VLOOKUP(MONTH(Tabla13[[#This Row],[Fecha final]]),Tabla20[#All],3,FALSE)</f>
        <v>9728</v>
      </c>
      <c r="J10" s="16">
        <f>(Tabla13[[#This Row],[P3 + P6]])*VLOOKUP(MONTH(Tabla13[[#This Row],[Fecha final]]),Tabla20[#All],4,FALSE)</f>
        <v>0</v>
      </c>
      <c r="K10" s="16">
        <f>Tabla13[[#This Row],[P1 + P4]]*VLOOKUP(MONTH(Tabla13[[#This Row],[Fecha final]]),Tabla20[#All],5,FALSE)</f>
        <v>0</v>
      </c>
      <c r="L10" s="16">
        <f>Tabla13[[#This Row],[P2 + P5]]*VLOOKUP(MONTH(Tabla13[[#This Row],[Fecha final]]),Tabla20[#All],6,FALSE)</f>
        <v>0</v>
      </c>
      <c r="M10" s="16">
        <f>Tabla13[[#This Row],[P3 + P6]]*VLOOKUP(MONTH(Tabla13[[#This Row],[Fecha final]]),Tabla20[#All],7,FALSE)</f>
        <v>3599</v>
      </c>
      <c r="N10" s="16">
        <f>YEAR(Tabla13[[#This Row],[Fecha final]])</f>
        <v>2020</v>
      </c>
    </row>
    <row r="11" spans="1:14">
      <c r="A11" s="17">
        <v>44196</v>
      </c>
      <c r="B11" s="16" t="s">
        <v>46</v>
      </c>
      <c r="C11" s="16">
        <v>31</v>
      </c>
      <c r="D11" s="16" t="s">
        <v>42</v>
      </c>
      <c r="E11" s="16">
        <v>2050</v>
      </c>
      <c r="F11" s="16">
        <v>10200</v>
      </c>
      <c r="G11" s="16">
        <v>3546</v>
      </c>
      <c r="H11" s="16">
        <f>Tabla13[[#This Row],[P1 + P4]]*VLOOKUP(MONTH(Tabla13[[#This Row],[Fecha final]]),Tabla20[#All],2,FALSE)</f>
        <v>2050</v>
      </c>
      <c r="I11" s="16">
        <f>Tabla13[[#This Row],[P2 + P5]]*VLOOKUP(MONTH(Tabla13[[#This Row],[Fecha final]]),Tabla20[#All],3,FALSE)</f>
        <v>10200</v>
      </c>
      <c r="J11" s="16">
        <f>(Tabla13[[#This Row],[P3 + P6]])*VLOOKUP(MONTH(Tabla13[[#This Row],[Fecha final]]),Tabla20[#All],4,FALSE)</f>
        <v>0</v>
      </c>
      <c r="K11" s="16">
        <f>Tabla13[[#This Row],[P1 + P4]]*VLOOKUP(MONTH(Tabla13[[#This Row],[Fecha final]]),Tabla20[#All],5,FALSE)</f>
        <v>0</v>
      </c>
      <c r="L11" s="16">
        <f>Tabla13[[#This Row],[P2 + P5]]*VLOOKUP(MONTH(Tabla13[[#This Row],[Fecha final]]),Tabla20[#All],6,FALSE)</f>
        <v>0</v>
      </c>
      <c r="M11" s="16">
        <f>Tabla13[[#This Row],[P3 + P6]]*VLOOKUP(MONTH(Tabla13[[#This Row],[Fecha final]]),Tabla20[#All],7,FALSE)</f>
        <v>3546</v>
      </c>
      <c r="N11" s="16">
        <f>YEAR(Tabla13[[#This Row],[Fecha final]])</f>
        <v>2021</v>
      </c>
    </row>
    <row r="12" spans="1:14">
      <c r="A12" s="17">
        <v>44227</v>
      </c>
      <c r="B12" s="16" t="s">
        <v>47</v>
      </c>
      <c r="C12" s="16">
        <v>28</v>
      </c>
      <c r="D12" s="16" t="s">
        <v>42</v>
      </c>
      <c r="E12" s="16">
        <v>1662</v>
      </c>
      <c r="F12" s="16">
        <v>8368</v>
      </c>
      <c r="G12" s="16">
        <v>2847</v>
      </c>
      <c r="H12" s="16">
        <f>Tabla13[[#This Row],[P1 + P4]]*VLOOKUP(MONTH(Tabla13[[#This Row],[Fecha final]]),Tabla20[#All],2,FALSE)</f>
        <v>1662</v>
      </c>
      <c r="I12" s="16">
        <f>Tabla13[[#This Row],[P2 + P5]]*VLOOKUP(MONTH(Tabla13[[#This Row],[Fecha final]]),Tabla20[#All],3,FALSE)</f>
        <v>8368</v>
      </c>
      <c r="J12" s="16">
        <f>(Tabla13[[#This Row],[P3 + P6]])*VLOOKUP(MONTH(Tabla13[[#This Row],[Fecha final]]),Tabla20[#All],4,FALSE)</f>
        <v>0</v>
      </c>
      <c r="K12" s="16">
        <f>Tabla13[[#This Row],[P1 + P4]]*VLOOKUP(MONTH(Tabla13[[#This Row],[Fecha final]]),Tabla20[#All],5,FALSE)</f>
        <v>0</v>
      </c>
      <c r="L12" s="16">
        <f>Tabla13[[#This Row],[P2 + P5]]*VLOOKUP(MONTH(Tabla13[[#This Row],[Fecha final]]),Tabla20[#All],6,FALSE)</f>
        <v>0</v>
      </c>
      <c r="M12" s="16">
        <f>Tabla13[[#This Row],[P3 + P6]]*VLOOKUP(MONTH(Tabla13[[#This Row],[Fecha final]]),Tabla20[#All],7,FALSE)</f>
        <v>2847</v>
      </c>
      <c r="N12" s="16">
        <f>YEAR(Tabla13[[#This Row],[Fecha final]])</f>
        <v>2021</v>
      </c>
    </row>
    <row r="13" spans="1:14">
      <c r="A13" s="17">
        <v>44255</v>
      </c>
      <c r="B13" s="16" t="s">
        <v>48</v>
      </c>
      <c r="C13" s="16">
        <v>31</v>
      </c>
      <c r="D13" s="16" t="s">
        <v>42</v>
      </c>
      <c r="E13" s="16">
        <v>1721</v>
      </c>
      <c r="F13" s="16">
        <v>7485</v>
      </c>
      <c r="G13" s="16">
        <v>3010</v>
      </c>
      <c r="H13" s="16">
        <f>Tabla13[[#This Row],[P1 + P4]]*VLOOKUP(MONTH(Tabla13[[#This Row],[Fecha final]]),Tabla20[#All],2,FALSE)</f>
        <v>0</v>
      </c>
      <c r="I13" s="16">
        <f>Tabla13[[#This Row],[P2 + P5]]*VLOOKUP(MONTH(Tabla13[[#This Row],[Fecha final]]),Tabla20[#All],3,FALSE)</f>
        <v>7485</v>
      </c>
      <c r="J13" s="16">
        <f>(Tabla13[[#This Row],[P3 + P6]])*VLOOKUP(MONTH(Tabla13[[#This Row],[Fecha final]]),Tabla20[#All],4,FALSE)</f>
        <v>902.39800000000002</v>
      </c>
      <c r="K13" s="16">
        <f>Tabla13[[#This Row],[P1 + P4]]*VLOOKUP(MONTH(Tabla13[[#This Row],[Fecha final]]),Tabla20[#All],5,FALSE)</f>
        <v>0</v>
      </c>
      <c r="L13" s="16">
        <f>Tabla13[[#This Row],[P2 + P5]]*VLOOKUP(MONTH(Tabla13[[#This Row],[Fecha final]]),Tabla20[#All],6,FALSE)</f>
        <v>0</v>
      </c>
      <c r="M13" s="16">
        <f>Tabla13[[#This Row],[P3 + P6]]*VLOOKUP(MONTH(Tabla13[[#This Row],[Fecha final]]),Tabla20[#All],7,FALSE)</f>
        <v>2107.6020000000003</v>
      </c>
      <c r="N13" s="16">
        <f>YEAR(Tabla13[[#This Row],[Fecha final]])</f>
        <v>2021</v>
      </c>
    </row>
    <row r="14" spans="1:14">
      <c r="A14" s="17">
        <v>44286</v>
      </c>
      <c r="B14" s="16" t="s">
        <v>49</v>
      </c>
      <c r="C14" s="16">
        <v>28</v>
      </c>
      <c r="D14" s="16" t="s">
        <v>42</v>
      </c>
      <c r="E14" s="16">
        <v>2593</v>
      </c>
      <c r="F14" s="16">
        <v>5623</v>
      </c>
      <c r="G14" s="16">
        <v>2438</v>
      </c>
      <c r="H14" s="16">
        <f>Tabla13[[#This Row],[P1 + P4]]*VLOOKUP(MONTH(Tabla13[[#This Row],[Fecha final]]),Tabla20[#All],2,FALSE)</f>
        <v>0</v>
      </c>
      <c r="I14" s="16">
        <f>Tabla13[[#This Row],[P2 + P5]]*VLOOKUP(MONTH(Tabla13[[#This Row],[Fecha final]]),Tabla20[#All],3,FALSE)</f>
        <v>0</v>
      </c>
      <c r="J14" s="16">
        <f>(Tabla13[[#This Row],[P3 + P6]])*VLOOKUP(MONTH(Tabla13[[#This Row],[Fecha final]]),Tabla20[#All],4,FALSE)</f>
        <v>0</v>
      </c>
      <c r="K14" s="16">
        <f>Tabla13[[#This Row],[P1 + P4]]*VLOOKUP(MONTH(Tabla13[[#This Row],[Fecha final]]),Tabla20[#All],5,FALSE)</f>
        <v>2593</v>
      </c>
      <c r="L14" s="16">
        <f>Tabla13[[#This Row],[P2 + P5]]*VLOOKUP(MONTH(Tabla13[[#This Row],[Fecha final]]),Tabla20[#All],6,FALSE)</f>
        <v>5623</v>
      </c>
      <c r="M14" s="16">
        <f>Tabla13[[#This Row],[P3 + P6]]*VLOOKUP(MONTH(Tabla13[[#This Row],[Fecha final]]),Tabla20[#All],7,FALSE)</f>
        <v>2438</v>
      </c>
      <c r="N14" s="16">
        <f>YEAR(Tabla13[[#This Row],[Fecha final]])</f>
        <v>2021</v>
      </c>
    </row>
    <row r="15" spans="1:14">
      <c r="A15" s="17">
        <v>44314</v>
      </c>
      <c r="B15" s="16" t="s">
        <v>50</v>
      </c>
      <c r="C15" s="16">
        <v>2</v>
      </c>
      <c r="D15" s="16" t="s">
        <v>42</v>
      </c>
      <c r="E15" s="16">
        <v>241</v>
      </c>
      <c r="F15" s="16">
        <v>471</v>
      </c>
      <c r="G15" s="16">
        <v>202</v>
      </c>
      <c r="H15" s="16">
        <f>Tabla13[[#This Row],[P1 + P4]]*VLOOKUP(MONTH(Tabla13[[#This Row],[Fecha final]]),Tabla20[#All],2,FALSE)</f>
        <v>0</v>
      </c>
      <c r="I15" s="16">
        <f>Tabla13[[#This Row],[P2 + P5]]*VLOOKUP(MONTH(Tabla13[[#This Row],[Fecha final]]),Tabla20[#All],3,FALSE)</f>
        <v>0</v>
      </c>
      <c r="J15" s="16">
        <f>(Tabla13[[#This Row],[P3 + P6]])*VLOOKUP(MONTH(Tabla13[[#This Row],[Fecha final]]),Tabla20[#All],4,FALSE)</f>
        <v>0</v>
      </c>
      <c r="K15" s="16">
        <f>Tabla13[[#This Row],[P1 + P4]]*VLOOKUP(MONTH(Tabla13[[#This Row],[Fecha final]]),Tabla20[#All],5,FALSE)</f>
        <v>241</v>
      </c>
      <c r="L15" s="16">
        <f>Tabla13[[#This Row],[P2 + P5]]*VLOOKUP(MONTH(Tabla13[[#This Row],[Fecha final]]),Tabla20[#All],6,FALSE)</f>
        <v>471</v>
      </c>
      <c r="M15" s="16">
        <f>Tabla13[[#This Row],[P3 + P6]]*VLOOKUP(MONTH(Tabla13[[#This Row],[Fecha final]]),Tabla20[#All],7,FALSE)</f>
        <v>202</v>
      </c>
      <c r="N15" s="16">
        <f>YEAR(Tabla13[[#This Row],[Fecha final]])</f>
        <v>2021</v>
      </c>
    </row>
    <row r="16" spans="1:14">
      <c r="A16" s="17">
        <v>44316</v>
      </c>
      <c r="B16" s="16" t="s">
        <v>51</v>
      </c>
      <c r="C16" s="16">
        <v>31</v>
      </c>
      <c r="D16" s="16" t="s">
        <v>42</v>
      </c>
      <c r="E16" s="16">
        <v>2977</v>
      </c>
      <c r="F16" s="16">
        <v>6225</v>
      </c>
      <c r="G16" s="16">
        <v>2644</v>
      </c>
      <c r="H16" s="16">
        <f>Tabla13[[#This Row],[P1 + P4]]*VLOOKUP(MONTH(Tabla13[[#This Row],[Fecha final]]),Tabla20[#All],2,FALSE)</f>
        <v>0</v>
      </c>
      <c r="I16" s="16">
        <f>Tabla13[[#This Row],[P2 + P5]]*VLOOKUP(MONTH(Tabla13[[#This Row],[Fecha final]]),Tabla20[#All],3,FALSE)</f>
        <v>0</v>
      </c>
      <c r="J16" s="16">
        <f>(Tabla13[[#This Row],[P3 + P6]])*VLOOKUP(MONTH(Tabla13[[#This Row],[Fecha final]]),Tabla20[#All],4,FALSE)</f>
        <v>0</v>
      </c>
      <c r="K16" s="16">
        <f>Tabla13[[#This Row],[P1 + P4]]*VLOOKUP(MONTH(Tabla13[[#This Row],[Fecha final]]),Tabla20[#All],5,FALSE)</f>
        <v>2977</v>
      </c>
      <c r="L16" s="16">
        <f>Tabla13[[#This Row],[P2 + P5]]*VLOOKUP(MONTH(Tabla13[[#This Row],[Fecha final]]),Tabla20[#All],6,FALSE)</f>
        <v>6225</v>
      </c>
      <c r="M16" s="16">
        <f>Tabla13[[#This Row],[P3 + P6]]*VLOOKUP(MONTH(Tabla13[[#This Row],[Fecha final]]),Tabla20[#All],7,FALSE)</f>
        <v>2644</v>
      </c>
      <c r="N16" s="16">
        <f>YEAR(Tabla13[[#This Row],[Fecha final]])</f>
        <v>2021</v>
      </c>
    </row>
    <row r="17" spans="1:14">
      <c r="A17" s="17">
        <v>44347</v>
      </c>
      <c r="B17" s="16" t="s">
        <v>52</v>
      </c>
      <c r="C17" s="16">
        <v>30</v>
      </c>
      <c r="D17" s="16" t="s">
        <v>42</v>
      </c>
      <c r="E17" s="16">
        <v>3702</v>
      </c>
      <c r="F17" s="16">
        <v>0</v>
      </c>
      <c r="G17" s="16">
        <v>9249</v>
      </c>
      <c r="H17" s="16">
        <f>Tabla13[[#This Row],[P1 + P4]]*VLOOKUP(MONTH(Tabla13[[#This Row],[Fecha final]]),Tabla20[#All],2,FALSE)</f>
        <v>0</v>
      </c>
      <c r="I17" s="16">
        <f>Tabla13[[#This Row],[P2 + P5]]*VLOOKUP(MONTH(Tabla13[[#This Row],[Fecha final]]),Tabla20[#All],3,FALSE)</f>
        <v>0</v>
      </c>
      <c r="J17" s="16">
        <f>(Tabla13[[#This Row],[P3 + P6]])*VLOOKUP(MONTH(Tabla13[[#This Row],[Fecha final]]),Tabla20[#All],4,FALSE)</f>
        <v>3235.3002000000001</v>
      </c>
      <c r="K17" s="16">
        <f>Tabla13[[#This Row],[P1 + P4]]*VLOOKUP(MONTH(Tabla13[[#This Row],[Fecha final]]),Tabla20[#All],5,FALSE)</f>
        <v>3702</v>
      </c>
      <c r="L17" s="16">
        <f>Tabla13[[#This Row],[P2 + P5]]*VLOOKUP(MONTH(Tabla13[[#This Row],[Fecha final]]),Tabla20[#All],6,FALSE)</f>
        <v>0</v>
      </c>
      <c r="M17" s="16">
        <f>Tabla13[[#This Row],[P3 + P6]]*VLOOKUP(MONTH(Tabla13[[#This Row],[Fecha final]]),Tabla20[#All],7,FALSE)</f>
        <v>6013.6998000000003</v>
      </c>
      <c r="N17" s="16">
        <f>YEAR(Tabla13[[#This Row],[Fecha final]])</f>
        <v>2021</v>
      </c>
    </row>
    <row r="18" spans="1:14">
      <c r="A18" s="17">
        <v>44377</v>
      </c>
      <c r="B18" s="16" t="s">
        <v>53</v>
      </c>
      <c r="C18" s="16">
        <v>31</v>
      </c>
      <c r="D18" s="16" t="s">
        <v>42</v>
      </c>
      <c r="E18" s="16">
        <v>5646</v>
      </c>
      <c r="F18" s="16">
        <v>3817</v>
      </c>
      <c r="G18" s="16">
        <v>4230</v>
      </c>
      <c r="H18" s="16">
        <f>Tabla13[[#This Row],[P1 + P4]]*VLOOKUP(MONTH(Tabla13[[#This Row],[Fecha final]]),Tabla20[#All],2,FALSE)</f>
        <v>5646</v>
      </c>
      <c r="I18" s="16">
        <f>Tabla13[[#This Row],[P2 + P5]]*VLOOKUP(MONTH(Tabla13[[#This Row],[Fecha final]]),Tabla20[#All],3,FALSE)</f>
        <v>3817</v>
      </c>
      <c r="J18" s="16">
        <f>(Tabla13[[#This Row],[P3 + P6]])*VLOOKUP(MONTH(Tabla13[[#This Row],[Fecha final]]),Tabla20[#All],4,FALSE)</f>
        <v>0</v>
      </c>
      <c r="K18" s="16">
        <f>Tabla13[[#This Row],[P1 + P4]]*VLOOKUP(MONTH(Tabla13[[#This Row],[Fecha final]]),Tabla20[#All],5,FALSE)</f>
        <v>0</v>
      </c>
      <c r="L18" s="16">
        <f>Tabla13[[#This Row],[P2 + P5]]*VLOOKUP(MONTH(Tabla13[[#This Row],[Fecha final]]),Tabla20[#All],6,FALSE)</f>
        <v>0</v>
      </c>
      <c r="M18" s="16">
        <f>Tabla13[[#This Row],[P3 + P6]]*VLOOKUP(MONTH(Tabla13[[#This Row],[Fecha final]]),Tabla20[#All],7,FALSE)</f>
        <v>4230</v>
      </c>
      <c r="N18" s="16">
        <f>YEAR(Tabla13[[#This Row],[Fecha final]])</f>
        <v>2021</v>
      </c>
    </row>
    <row r="19" spans="1:14">
      <c r="A19" s="17">
        <v>44408</v>
      </c>
      <c r="B19" s="16" t="s">
        <v>54</v>
      </c>
      <c r="C19" s="16">
        <v>31</v>
      </c>
      <c r="D19" s="16" t="s">
        <v>42</v>
      </c>
      <c r="E19" s="16">
        <v>3545</v>
      </c>
      <c r="F19" s="16">
        <v>0</v>
      </c>
      <c r="G19" s="16">
        <v>9234</v>
      </c>
      <c r="H19" s="16">
        <f>Tabla13[[#This Row],[P1 + P4]]*VLOOKUP(MONTH(Tabla13[[#This Row],[Fecha final]]),Tabla20[#All],2,FALSE)</f>
        <v>0</v>
      </c>
      <c r="I19" s="16">
        <f>Tabla13[[#This Row],[P2 + P5]]*VLOOKUP(MONTH(Tabla13[[#This Row],[Fecha final]]),Tabla20[#All],3,FALSE)</f>
        <v>0</v>
      </c>
      <c r="J19" s="16">
        <f>(Tabla13[[#This Row],[P3 + P6]])*VLOOKUP(MONTH(Tabla13[[#This Row],[Fecha final]]),Tabla20[#All],4,FALSE)</f>
        <v>3098.9304000000002</v>
      </c>
      <c r="K19" s="16">
        <f>Tabla13[[#This Row],[P1 + P4]]*VLOOKUP(MONTH(Tabla13[[#This Row],[Fecha final]]),Tabla20[#All],5,FALSE)</f>
        <v>3545</v>
      </c>
      <c r="L19" s="16">
        <f>Tabla13[[#This Row],[P2 + P5]]*VLOOKUP(MONTH(Tabla13[[#This Row],[Fecha final]]),Tabla20[#All],6,FALSE)</f>
        <v>0</v>
      </c>
      <c r="M19" s="16">
        <f>Tabla13[[#This Row],[P3 + P6]]*VLOOKUP(MONTH(Tabla13[[#This Row],[Fecha final]]),Tabla20[#All],7,FALSE)</f>
        <v>6135.0695999999998</v>
      </c>
      <c r="N19" s="16">
        <f>YEAR(Tabla13[[#This Row],[Fecha final]])</f>
        <v>2021</v>
      </c>
    </row>
    <row r="20" spans="1:14">
      <c r="A20" s="17">
        <v>44439</v>
      </c>
      <c r="B20" s="16" t="s">
        <v>55</v>
      </c>
      <c r="C20" s="16">
        <v>30</v>
      </c>
      <c r="D20" s="16" t="s">
        <v>42</v>
      </c>
      <c r="E20" s="16">
        <v>3991</v>
      </c>
      <c r="F20" s="16">
        <v>0</v>
      </c>
      <c r="G20" s="16">
        <v>9352</v>
      </c>
      <c r="H20" s="16">
        <f>Tabla13[[#This Row],[P1 + P4]]*VLOOKUP(MONTH(Tabla13[[#This Row],[Fecha final]]),Tabla20[#All],2,FALSE)</f>
        <v>0</v>
      </c>
      <c r="I20" s="16">
        <f>Tabla13[[#This Row],[P2 + P5]]*VLOOKUP(MONTH(Tabla13[[#This Row],[Fecha final]]),Tabla20[#All],3,FALSE)</f>
        <v>0</v>
      </c>
      <c r="J20" s="16">
        <f>(Tabla13[[#This Row],[P3 + P6]])*VLOOKUP(MONTH(Tabla13[[#This Row],[Fecha final]]),Tabla20[#All],4,FALSE)</f>
        <v>3271.3296</v>
      </c>
      <c r="K20" s="16">
        <f>Tabla13[[#This Row],[P1 + P4]]*VLOOKUP(MONTH(Tabla13[[#This Row],[Fecha final]]),Tabla20[#All],5,FALSE)</f>
        <v>3991</v>
      </c>
      <c r="L20" s="16">
        <f>Tabla13[[#This Row],[P2 + P5]]*VLOOKUP(MONTH(Tabla13[[#This Row],[Fecha final]]),Tabla20[#All],6,FALSE)</f>
        <v>0</v>
      </c>
      <c r="M20" s="16">
        <f>Tabla13[[#This Row],[P3 + P6]]*VLOOKUP(MONTH(Tabla13[[#This Row],[Fecha final]]),Tabla20[#All],7,FALSE)</f>
        <v>6080.6704</v>
      </c>
      <c r="N20" s="16">
        <f>YEAR(Tabla13[[#This Row],[Fecha final]])</f>
        <v>2021</v>
      </c>
    </row>
    <row r="21" spans="1:14">
      <c r="A21" s="17">
        <v>44469</v>
      </c>
      <c r="B21" s="16" t="s">
        <v>56</v>
      </c>
      <c r="C21" s="16">
        <v>4</v>
      </c>
      <c r="D21" s="16" t="s">
        <v>42</v>
      </c>
      <c r="E21" s="16">
        <v>463</v>
      </c>
      <c r="F21" s="16">
        <v>330</v>
      </c>
      <c r="G21" s="16">
        <v>626</v>
      </c>
      <c r="H21" s="16">
        <f>Tabla13[[#This Row],[P1 + P4]]*VLOOKUP(MONTH(Tabla13[[#This Row],[Fecha final]]),Tabla20[#All],2,FALSE)</f>
        <v>0</v>
      </c>
      <c r="I21" s="16">
        <f>Tabla13[[#This Row],[P2 + P5]]*VLOOKUP(MONTH(Tabla13[[#This Row],[Fecha final]]),Tabla20[#All],3,FALSE)</f>
        <v>0</v>
      </c>
      <c r="J21" s="16">
        <f>(Tabla13[[#This Row],[P3 + P6]])*VLOOKUP(MONTH(Tabla13[[#This Row],[Fecha final]]),Tabla20[#All],4,FALSE)</f>
        <v>0</v>
      </c>
      <c r="K21" s="16">
        <f>Tabla13[[#This Row],[P1 + P4]]*VLOOKUP(MONTH(Tabla13[[#This Row],[Fecha final]]),Tabla20[#All],5,FALSE)</f>
        <v>463</v>
      </c>
      <c r="L21" s="16">
        <f>Tabla13[[#This Row],[P2 + P5]]*VLOOKUP(MONTH(Tabla13[[#This Row],[Fecha final]]),Tabla20[#All],6,FALSE)</f>
        <v>330</v>
      </c>
      <c r="M21" s="16">
        <f>Tabla13[[#This Row],[P3 + P6]]*VLOOKUP(MONTH(Tabla13[[#This Row],[Fecha final]]),Tabla20[#All],7,FALSE)</f>
        <v>626</v>
      </c>
      <c r="N21" s="16">
        <f>YEAR(Tabla13[[#This Row],[Fecha final]])</f>
        <v>2021</v>
      </c>
    </row>
    <row r="22" spans="1:14">
      <c r="A22" s="17">
        <v>44473</v>
      </c>
      <c r="B22" s="16" t="s">
        <v>57</v>
      </c>
      <c r="C22" s="16">
        <v>27</v>
      </c>
      <c r="D22" s="16" t="s">
        <v>42</v>
      </c>
      <c r="E22" s="16">
        <v>3992</v>
      </c>
      <c r="F22" s="16">
        <v>2922</v>
      </c>
      <c r="G22" s="16">
        <v>3616</v>
      </c>
      <c r="H22" s="16">
        <f>Tabla13[[#This Row],[P1 + P4]]*VLOOKUP(MONTH(Tabla13[[#This Row],[Fecha final]]),Tabla20[#All],2,FALSE)</f>
        <v>0</v>
      </c>
      <c r="I22" s="16">
        <f>Tabla13[[#This Row],[P2 + P5]]*VLOOKUP(MONTH(Tabla13[[#This Row],[Fecha final]]),Tabla20[#All],3,FALSE)</f>
        <v>0</v>
      </c>
      <c r="J22" s="16">
        <f>(Tabla13[[#This Row],[P3 + P6]])*VLOOKUP(MONTH(Tabla13[[#This Row],[Fecha final]]),Tabla20[#All],4,FALSE)</f>
        <v>0</v>
      </c>
      <c r="K22" s="16">
        <f>Tabla13[[#This Row],[P1 + P4]]*VLOOKUP(MONTH(Tabla13[[#This Row],[Fecha final]]),Tabla20[#All],5,FALSE)</f>
        <v>3992</v>
      </c>
      <c r="L22" s="16">
        <f>Tabla13[[#This Row],[P2 + P5]]*VLOOKUP(MONTH(Tabla13[[#This Row],[Fecha final]]),Tabla20[#All],6,FALSE)</f>
        <v>2922</v>
      </c>
      <c r="M22" s="16">
        <f>Tabla13[[#This Row],[P3 + P6]]*VLOOKUP(MONTH(Tabla13[[#This Row],[Fecha final]]),Tabla20[#All],7,FALSE)</f>
        <v>3616</v>
      </c>
      <c r="N22" s="16">
        <f>YEAR(Tabla13[[#This Row],[Fecha final]])</f>
        <v>2021</v>
      </c>
    </row>
    <row r="23" spans="1:14">
      <c r="A23" s="17">
        <v>44500</v>
      </c>
      <c r="B23" s="16" t="s">
        <v>58</v>
      </c>
      <c r="C23" s="16">
        <v>30</v>
      </c>
      <c r="D23" s="16" t="s">
        <v>42</v>
      </c>
      <c r="E23" s="16">
        <v>0</v>
      </c>
      <c r="F23" s="16">
        <v>5232</v>
      </c>
      <c r="G23" s="16">
        <v>8074</v>
      </c>
      <c r="H23" s="16">
        <f>Tabla13[[#This Row],[P1 + P4]]*VLOOKUP(MONTH(Tabla13[[#This Row],[Fecha final]]),Tabla20[#All],2,FALSE)</f>
        <v>0</v>
      </c>
      <c r="I23" s="16">
        <f>Tabla13[[#This Row],[P2 + P5]]*VLOOKUP(MONTH(Tabla13[[#This Row],[Fecha final]]),Tabla20[#All],3,FALSE)</f>
        <v>5232</v>
      </c>
      <c r="J23" s="16">
        <f>(Tabla13[[#This Row],[P3 + P6]])*VLOOKUP(MONTH(Tabla13[[#This Row],[Fecha final]]),Tabla20[#All],4,FALSE)</f>
        <v>2234.8831999999998</v>
      </c>
      <c r="K23" s="16">
        <f>Tabla13[[#This Row],[P1 + P4]]*VLOOKUP(MONTH(Tabla13[[#This Row],[Fecha final]]),Tabla20[#All],5,FALSE)</f>
        <v>0</v>
      </c>
      <c r="L23" s="16">
        <f>Tabla13[[#This Row],[P2 + P5]]*VLOOKUP(MONTH(Tabla13[[#This Row],[Fecha final]]),Tabla20[#All],6,FALSE)</f>
        <v>0</v>
      </c>
      <c r="M23" s="16">
        <f>Tabla13[[#This Row],[P3 + P6]]*VLOOKUP(MONTH(Tabla13[[#This Row],[Fecha final]]),Tabla20[#All],7,FALSE)</f>
        <v>5839.1167999999998</v>
      </c>
      <c r="N23" s="16">
        <f>YEAR(Tabla13[[#This Row],[Fecha final]])</f>
        <v>2021</v>
      </c>
    </row>
    <row r="24" spans="1:14">
      <c r="A24" s="17">
        <v>44530</v>
      </c>
      <c r="B24" s="16" t="s">
        <v>59</v>
      </c>
      <c r="C24" s="16">
        <v>2</v>
      </c>
      <c r="D24" s="16" t="s">
        <v>42</v>
      </c>
      <c r="E24" s="16">
        <v>742</v>
      </c>
      <c r="F24" s="16">
        <v>578</v>
      </c>
      <c r="G24" s="16">
        <v>660</v>
      </c>
      <c r="H24" s="16">
        <f>Tabla13[[#This Row],[P1 + P4]]*VLOOKUP(MONTH(Tabla13[[#This Row],[Fecha final]]),Tabla20[#All],2,FALSE)</f>
        <v>742</v>
      </c>
      <c r="I24" s="16">
        <f>Tabla13[[#This Row],[P2 + P5]]*VLOOKUP(MONTH(Tabla13[[#This Row],[Fecha final]]),Tabla20[#All],3,FALSE)</f>
        <v>578</v>
      </c>
      <c r="J24" s="16">
        <f>(Tabla13[[#This Row],[P3 + P6]])*VLOOKUP(MONTH(Tabla13[[#This Row],[Fecha final]]),Tabla20[#All],4,FALSE)</f>
        <v>0</v>
      </c>
      <c r="K24" s="16">
        <f>Tabla13[[#This Row],[P1 + P4]]*VLOOKUP(MONTH(Tabla13[[#This Row],[Fecha final]]),Tabla20[#All],5,FALSE)</f>
        <v>0</v>
      </c>
      <c r="L24" s="16">
        <f>Tabla13[[#This Row],[P2 + P5]]*VLOOKUP(MONTH(Tabla13[[#This Row],[Fecha final]]),Tabla20[#All],6,FALSE)</f>
        <v>0</v>
      </c>
      <c r="M24" s="16">
        <f>Tabla13[[#This Row],[P3 + P6]]*VLOOKUP(MONTH(Tabla13[[#This Row],[Fecha final]]),Tabla20[#All],7,FALSE)</f>
        <v>660</v>
      </c>
      <c r="N24" s="16">
        <f>YEAR(Tabla13[[#This Row],[Fecha final]])</f>
        <v>2021</v>
      </c>
    </row>
    <row r="25" spans="1:14">
      <c r="A25" s="17">
        <v>44532</v>
      </c>
      <c r="B25" s="16" t="s">
        <v>60</v>
      </c>
      <c r="C25" s="16">
        <v>29</v>
      </c>
      <c r="D25" s="16" t="s">
        <v>42</v>
      </c>
      <c r="E25" s="16">
        <v>7054</v>
      </c>
      <c r="F25" s="16">
        <v>5486</v>
      </c>
      <c r="G25" s="16">
        <v>16170</v>
      </c>
      <c r="H25" s="16">
        <f>Tabla13[[#This Row],[P1 + P4]]*VLOOKUP(MONTH(Tabla13[[#This Row],[Fecha final]]),Tabla20[#All],2,FALSE)</f>
        <v>7054</v>
      </c>
      <c r="I25" s="16">
        <f>Tabla13[[#This Row],[P2 + P5]]*VLOOKUP(MONTH(Tabla13[[#This Row],[Fecha final]]),Tabla20[#All],3,FALSE)</f>
        <v>5486</v>
      </c>
      <c r="J25" s="16">
        <f>(Tabla13[[#This Row],[P3 + P6]])*VLOOKUP(MONTH(Tabla13[[#This Row],[Fecha final]]),Tabla20[#All],4,FALSE)</f>
        <v>0</v>
      </c>
      <c r="K25" s="16">
        <f>Tabla13[[#This Row],[P1 + P4]]*VLOOKUP(MONTH(Tabla13[[#This Row],[Fecha final]]),Tabla20[#All],5,FALSE)</f>
        <v>0</v>
      </c>
      <c r="L25" s="16">
        <f>Tabla13[[#This Row],[P2 + P5]]*VLOOKUP(MONTH(Tabla13[[#This Row],[Fecha final]]),Tabla20[#All],6,FALSE)</f>
        <v>0</v>
      </c>
      <c r="M25" s="16">
        <f>Tabla13[[#This Row],[P3 + P6]]*VLOOKUP(MONTH(Tabla13[[#This Row],[Fecha final]]),Tabla20[#All],7,FALSE)</f>
        <v>16170</v>
      </c>
      <c r="N25" s="16">
        <f>YEAR(Tabla13[[#This Row],[Fecha final]])</f>
        <v>2021</v>
      </c>
    </row>
    <row r="26" spans="1:14">
      <c r="A26" s="17">
        <v>44561</v>
      </c>
      <c r="B26" s="16" t="s">
        <v>61</v>
      </c>
      <c r="C26" s="16">
        <v>31</v>
      </c>
      <c r="D26" s="16" t="s">
        <v>42</v>
      </c>
      <c r="E26" s="16">
        <v>7425</v>
      </c>
      <c r="F26" s="16">
        <v>5775</v>
      </c>
      <c r="G26" s="16">
        <v>17490</v>
      </c>
      <c r="H26" s="16">
        <f>Tabla13[[#This Row],[P1 + P4]]*VLOOKUP(MONTH(Tabla13[[#This Row],[Fecha final]]),Tabla20[#All],2,FALSE)</f>
        <v>7425</v>
      </c>
      <c r="I26" s="16">
        <f>Tabla13[[#This Row],[P2 + P5]]*VLOOKUP(MONTH(Tabla13[[#This Row],[Fecha final]]),Tabla20[#All],3,FALSE)</f>
        <v>5775</v>
      </c>
      <c r="J26" s="16">
        <f>(Tabla13[[#This Row],[P3 + P6]])*VLOOKUP(MONTH(Tabla13[[#This Row],[Fecha final]]),Tabla20[#All],4,FALSE)</f>
        <v>0</v>
      </c>
      <c r="K26" s="16">
        <f>Tabla13[[#This Row],[P1 + P4]]*VLOOKUP(MONTH(Tabla13[[#This Row],[Fecha final]]),Tabla20[#All],5,FALSE)</f>
        <v>0</v>
      </c>
      <c r="L26" s="16">
        <f>Tabla13[[#This Row],[P2 + P5]]*VLOOKUP(MONTH(Tabla13[[#This Row],[Fecha final]]),Tabla20[#All],6,FALSE)</f>
        <v>0</v>
      </c>
      <c r="M26" s="16">
        <f>Tabla13[[#This Row],[P3 + P6]]*VLOOKUP(MONTH(Tabla13[[#This Row],[Fecha final]]),Tabla20[#All],7,FALSE)</f>
        <v>17490</v>
      </c>
      <c r="N26" s="16">
        <f>YEAR(Tabla13[[#This Row],[Fecha final]])</f>
        <v>2022</v>
      </c>
    </row>
    <row r="27" spans="1:14">
      <c r="A27" s="17">
        <v>44592</v>
      </c>
      <c r="B27" s="16" t="s">
        <v>62</v>
      </c>
      <c r="C27" s="16">
        <v>28</v>
      </c>
      <c r="D27" s="16" t="s">
        <v>42</v>
      </c>
      <c r="E27" s="16">
        <v>3573</v>
      </c>
      <c r="F27" s="16">
        <v>2779</v>
      </c>
      <c r="G27" s="16">
        <v>6987</v>
      </c>
      <c r="H27" s="16">
        <f>Tabla13[[#This Row],[P1 + P4]]*VLOOKUP(MONTH(Tabla13[[#This Row],[Fecha final]]),Tabla20[#All],2,FALSE)</f>
        <v>3573</v>
      </c>
      <c r="I27" s="16">
        <f>Tabla13[[#This Row],[P2 + P5]]*VLOOKUP(MONTH(Tabla13[[#This Row],[Fecha final]]),Tabla20[#All],3,FALSE)</f>
        <v>2779</v>
      </c>
      <c r="J27" s="16">
        <f>(Tabla13[[#This Row],[P3 + P6]])*VLOOKUP(MONTH(Tabla13[[#This Row],[Fecha final]]),Tabla20[#All],4,FALSE)</f>
        <v>0</v>
      </c>
      <c r="K27" s="16">
        <f>Tabla13[[#This Row],[P1 + P4]]*VLOOKUP(MONTH(Tabla13[[#This Row],[Fecha final]]),Tabla20[#All],5,FALSE)</f>
        <v>0</v>
      </c>
      <c r="L27" s="16">
        <f>Tabla13[[#This Row],[P2 + P5]]*VLOOKUP(MONTH(Tabla13[[#This Row],[Fecha final]]),Tabla20[#All],6,FALSE)</f>
        <v>0</v>
      </c>
      <c r="M27" s="16">
        <f>Tabla13[[#This Row],[P3 + P6]]*VLOOKUP(MONTH(Tabla13[[#This Row],[Fecha final]]),Tabla20[#All],7,FALSE)</f>
        <v>6987</v>
      </c>
      <c r="N27" s="16">
        <f>YEAR(Tabla13[[#This Row],[Fecha final]])</f>
        <v>2022</v>
      </c>
    </row>
    <row r="28" spans="1:14">
      <c r="A28" s="17">
        <v>44620</v>
      </c>
      <c r="B28" s="16" t="s">
        <v>63</v>
      </c>
      <c r="C28" s="16">
        <v>31</v>
      </c>
      <c r="D28" s="16" t="s">
        <v>42</v>
      </c>
      <c r="E28" s="16">
        <v>0</v>
      </c>
      <c r="F28" s="16">
        <v>8539</v>
      </c>
      <c r="G28" s="16">
        <v>22110</v>
      </c>
      <c r="H28" s="16">
        <f>Tabla13[[#This Row],[P1 + P4]]*VLOOKUP(MONTH(Tabla13[[#This Row],[Fecha final]]),Tabla20[#All],2,FALSE)</f>
        <v>0</v>
      </c>
      <c r="I28" s="16">
        <f>Tabla13[[#This Row],[P2 + P5]]*VLOOKUP(MONTH(Tabla13[[#This Row],[Fecha final]]),Tabla20[#All],3,FALSE)</f>
        <v>8539</v>
      </c>
      <c r="J28" s="16">
        <f>(Tabla13[[#This Row],[P3 + P6]])*VLOOKUP(MONTH(Tabla13[[#This Row],[Fecha final]]),Tabla20[#All],4,FALSE)</f>
        <v>6628.5780000000004</v>
      </c>
      <c r="K28" s="16">
        <f>Tabla13[[#This Row],[P1 + P4]]*VLOOKUP(MONTH(Tabla13[[#This Row],[Fecha final]]),Tabla20[#All],5,FALSE)</f>
        <v>0</v>
      </c>
      <c r="L28" s="16">
        <f>Tabla13[[#This Row],[P2 + P5]]*VLOOKUP(MONTH(Tabla13[[#This Row],[Fecha final]]),Tabla20[#All],6,FALSE)</f>
        <v>0</v>
      </c>
      <c r="M28" s="16">
        <f>Tabla13[[#This Row],[P3 + P6]]*VLOOKUP(MONTH(Tabla13[[#This Row],[Fecha final]]),Tabla20[#All],7,FALSE)</f>
        <v>15481.422</v>
      </c>
      <c r="N28" s="16">
        <f>YEAR(Tabla13[[#This Row],[Fecha final]])</f>
        <v>2022</v>
      </c>
    </row>
    <row r="29" spans="1:14">
      <c r="A29" s="17">
        <v>44651</v>
      </c>
      <c r="B29" s="16" t="s">
        <v>64</v>
      </c>
      <c r="C29" s="16">
        <v>8</v>
      </c>
      <c r="D29" s="16" t="s">
        <v>42</v>
      </c>
      <c r="E29" s="16">
        <v>856</v>
      </c>
      <c r="F29" s="16">
        <v>666</v>
      </c>
      <c r="G29" s="16">
        <v>1522</v>
      </c>
      <c r="H29" s="16">
        <f>Tabla13[[#This Row],[P1 + P4]]*VLOOKUP(MONTH(Tabla13[[#This Row],[Fecha final]]),Tabla20[#All],2,FALSE)</f>
        <v>0</v>
      </c>
      <c r="I29" s="16">
        <f>Tabla13[[#This Row],[P2 + P5]]*VLOOKUP(MONTH(Tabla13[[#This Row],[Fecha final]]),Tabla20[#All],3,FALSE)</f>
        <v>0</v>
      </c>
      <c r="J29" s="16">
        <f>(Tabla13[[#This Row],[P3 + P6]])*VLOOKUP(MONTH(Tabla13[[#This Row],[Fecha final]]),Tabla20[#All],4,FALSE)</f>
        <v>0</v>
      </c>
      <c r="K29" s="16">
        <f>Tabla13[[#This Row],[P1 + P4]]*VLOOKUP(MONTH(Tabla13[[#This Row],[Fecha final]]),Tabla20[#All],5,FALSE)</f>
        <v>856</v>
      </c>
      <c r="L29" s="16">
        <f>Tabla13[[#This Row],[P2 + P5]]*VLOOKUP(MONTH(Tabla13[[#This Row],[Fecha final]]),Tabla20[#All],6,FALSE)</f>
        <v>666</v>
      </c>
      <c r="M29" s="16">
        <f>Tabla13[[#This Row],[P3 + P6]]*VLOOKUP(MONTH(Tabla13[[#This Row],[Fecha final]]),Tabla20[#All],7,FALSE)</f>
        <v>1522</v>
      </c>
      <c r="N29" s="16">
        <f>YEAR(Tabla13[[#This Row],[Fecha final]])</f>
        <v>2022</v>
      </c>
    </row>
    <row r="30" spans="1:14">
      <c r="A30" s="17">
        <v>44659</v>
      </c>
      <c r="B30" s="16" t="s">
        <v>65</v>
      </c>
      <c r="C30" s="16">
        <v>22</v>
      </c>
      <c r="D30" s="16" t="s">
        <v>42</v>
      </c>
      <c r="E30" s="16">
        <v>3074</v>
      </c>
      <c r="F30" s="16">
        <v>2252</v>
      </c>
      <c r="G30" s="16">
        <v>3157</v>
      </c>
      <c r="H30" s="16">
        <f>Tabla13[[#This Row],[P1 + P4]]*VLOOKUP(MONTH(Tabla13[[#This Row],[Fecha final]]),Tabla20[#All],2,FALSE)</f>
        <v>0</v>
      </c>
      <c r="I30" s="16">
        <f>Tabla13[[#This Row],[P2 + P5]]*VLOOKUP(MONTH(Tabla13[[#This Row],[Fecha final]]),Tabla20[#All],3,FALSE)</f>
        <v>0</v>
      </c>
      <c r="J30" s="16">
        <f>(Tabla13[[#This Row],[P3 + P6]])*VLOOKUP(MONTH(Tabla13[[#This Row],[Fecha final]]),Tabla20[#All],4,FALSE)</f>
        <v>0</v>
      </c>
      <c r="K30" s="16">
        <f>Tabla13[[#This Row],[P1 + P4]]*VLOOKUP(MONTH(Tabla13[[#This Row],[Fecha final]]),Tabla20[#All],5,FALSE)</f>
        <v>3074</v>
      </c>
      <c r="L30" s="16">
        <f>Tabla13[[#This Row],[P2 + P5]]*VLOOKUP(MONTH(Tabla13[[#This Row],[Fecha final]]),Tabla20[#All],6,FALSE)</f>
        <v>2252</v>
      </c>
      <c r="M30" s="16">
        <f>Tabla13[[#This Row],[P3 + P6]]*VLOOKUP(MONTH(Tabla13[[#This Row],[Fecha final]]),Tabla20[#All],7,FALSE)</f>
        <v>3157</v>
      </c>
      <c r="N30" s="16">
        <f>YEAR(Tabla13[[#This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4852</v>
      </c>
      <c r="F31" s="16">
        <v>3600</v>
      </c>
      <c r="G31" s="16">
        <v>3860</v>
      </c>
      <c r="H31" s="16">
        <f>Tabla13[[#This Row],[P1 + P4]]*VLOOKUP(MONTH(Tabla13[[#This Row],[Fecha final]]),Tabla20[#All],2,FALSE)</f>
        <v>0</v>
      </c>
      <c r="I31" s="16">
        <f>Tabla13[[#This Row],[P2 + P5]]*VLOOKUP(MONTH(Tabla13[[#This Row],[Fecha final]]),Tabla20[#All],3,FALSE)</f>
        <v>0</v>
      </c>
      <c r="J31" s="16">
        <f>(Tabla13[[#This Row],[P3 + P6]])*VLOOKUP(MONTH(Tabla13[[#This Row],[Fecha final]]),Tabla20[#All],4,FALSE)</f>
        <v>0</v>
      </c>
      <c r="K31" s="16">
        <f>Tabla13[[#This Row],[P1 + P4]]*VLOOKUP(MONTH(Tabla13[[#This Row],[Fecha final]]),Tabla20[#All],5,FALSE)</f>
        <v>4852</v>
      </c>
      <c r="L31" s="16">
        <f>Tabla13[[#This Row],[P2 + P5]]*VLOOKUP(MONTH(Tabla13[[#This Row],[Fecha final]]),Tabla20[#All],6,FALSE)</f>
        <v>3600</v>
      </c>
      <c r="M31" s="16">
        <f>Tabla13[[#This Row],[P3 + P6]]*VLOOKUP(MONTH(Tabla13[[#This Row],[Fecha final]]),Tabla20[#All],7,FALSE)</f>
        <v>3860</v>
      </c>
      <c r="N31" s="16">
        <f>YEAR(Tabla13[[#This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3954</v>
      </c>
      <c r="F32" s="16">
        <v>0</v>
      </c>
      <c r="G32" s="16">
        <v>9497</v>
      </c>
      <c r="H32" s="16">
        <f>Tabla13[[#This Row],[P1 + P4]]*VLOOKUP(MONTH(Tabla13[[#This Row],[Fecha final]]),Tabla20[#All],2,FALSE)</f>
        <v>0</v>
      </c>
      <c r="I32" s="16">
        <f>Tabla13[[#This Row],[P2 + P5]]*VLOOKUP(MONTH(Tabla13[[#This Row],[Fecha final]]),Tabla20[#All],3,FALSE)</f>
        <v>0</v>
      </c>
      <c r="J32" s="16">
        <f>(Tabla13[[#This Row],[P3 + P6]])*VLOOKUP(MONTH(Tabla13[[#This Row],[Fecha final]]),Tabla20[#All],4,FALSE)</f>
        <v>3322.0506</v>
      </c>
      <c r="K32" s="16">
        <f>Tabla13[[#This Row],[P1 + P4]]*VLOOKUP(MONTH(Tabla13[[#This Row],[Fecha final]]),Tabla20[#All],5,FALSE)</f>
        <v>3954</v>
      </c>
      <c r="L32" s="16">
        <f>Tabla13[[#This Row],[P2 + P5]]*VLOOKUP(MONTH(Tabla13[[#This Row],[Fecha final]]),Tabla20[#All],6,FALSE)</f>
        <v>0</v>
      </c>
      <c r="M32" s="16">
        <f>Tabla13[[#This Row],[P3 + P6]]*VLOOKUP(MONTH(Tabla13[[#This Row],[Fecha final]]),Tabla20[#All],7,FALSE)</f>
        <v>6174.9494000000004</v>
      </c>
      <c r="N32" s="16">
        <f>YEAR(Tabla13[[#This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5679</v>
      </c>
      <c r="F33" s="16">
        <v>4115</v>
      </c>
      <c r="G33" s="16">
        <v>4837</v>
      </c>
      <c r="H33" s="16">
        <f>Tabla13[[#This Row],[P1 + P4]]*VLOOKUP(MONTH(Tabla13[[#This Row],[Fecha final]]),Tabla20[#All],2,FALSE)</f>
        <v>5679</v>
      </c>
      <c r="I33" s="16">
        <f>Tabla13[[#This Row],[P2 + P5]]*VLOOKUP(MONTH(Tabla13[[#This Row],[Fecha final]]),Tabla20[#All],3,FALSE)</f>
        <v>4115</v>
      </c>
      <c r="J33" s="16">
        <f>(Tabla13[[#This Row],[P3 + P6]])*VLOOKUP(MONTH(Tabla13[[#This Row],[Fecha final]]),Tabla20[#All],4,FALSE)</f>
        <v>0</v>
      </c>
      <c r="K33" s="16">
        <f>Tabla13[[#This Row],[P1 + P4]]*VLOOKUP(MONTH(Tabla13[[#This Row],[Fecha final]]),Tabla20[#All],5,FALSE)</f>
        <v>0</v>
      </c>
      <c r="L33" s="16">
        <f>Tabla13[[#This Row],[P2 + P5]]*VLOOKUP(MONTH(Tabla13[[#This Row],[Fecha final]]),Tabla20[#All],6,FALSE)</f>
        <v>0</v>
      </c>
      <c r="M33" s="16">
        <f>Tabla13[[#This Row],[P3 + P6]]*VLOOKUP(MONTH(Tabla13[[#This Row],[Fecha final]]),Tabla20[#All],7,FALSE)</f>
        <v>4837</v>
      </c>
      <c r="N33" s="16">
        <f>YEAR(Tabla13[[#This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3831</v>
      </c>
      <c r="F34" s="16">
        <v>0</v>
      </c>
      <c r="G34" s="16">
        <v>10051</v>
      </c>
      <c r="H34" s="16">
        <f>Tabla13[[#This Row],[P1 + P4]]*VLOOKUP(MONTH(Tabla13[[#This Row],[Fecha final]]),Tabla20[#All],2,FALSE)</f>
        <v>0</v>
      </c>
      <c r="I34" s="16">
        <f>Tabla13[[#This Row],[P2 + P5]]*VLOOKUP(MONTH(Tabla13[[#This Row],[Fecha final]]),Tabla20[#All],3,FALSE)</f>
        <v>0</v>
      </c>
      <c r="J34" s="16">
        <f>(Tabla13[[#This Row],[P3 + P6]])*VLOOKUP(MONTH(Tabla13[[#This Row],[Fecha final]]),Tabla20[#All],4,FALSE)</f>
        <v>3373.1156000000001</v>
      </c>
      <c r="K34" s="16">
        <f>Tabla13[[#This Row],[P1 + P4]]*VLOOKUP(MONTH(Tabla13[[#This Row],[Fecha final]]),Tabla20[#All],5,FALSE)</f>
        <v>3831</v>
      </c>
      <c r="L34" s="16">
        <f>Tabla13[[#This Row],[P2 + P5]]*VLOOKUP(MONTH(Tabla13[[#This Row],[Fecha final]]),Tabla20[#All],6,FALSE)</f>
        <v>0</v>
      </c>
      <c r="M34" s="16">
        <f>Tabla13[[#This Row],[P3 + P6]]*VLOOKUP(MONTH(Tabla13[[#This Row],[Fecha final]]),Tabla20[#All],7,FALSE)</f>
        <v>6677.8843999999999</v>
      </c>
      <c r="N34" s="16">
        <f>YEAR(Tabla13[[#This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3960</v>
      </c>
      <c r="F35" s="16">
        <v>0</v>
      </c>
      <c r="G35" s="16">
        <v>9568</v>
      </c>
      <c r="H35" s="16">
        <f>Tabla13[[#This Row],[P1 + P4]]*VLOOKUP(MONTH(Tabla13[[#This Row],[Fecha final]]),Tabla20[#All],2,FALSE)</f>
        <v>0</v>
      </c>
      <c r="I35" s="16">
        <f>Tabla13[[#This Row],[P2 + P5]]*VLOOKUP(MONTH(Tabla13[[#This Row],[Fecha final]]),Tabla20[#All],3,FALSE)</f>
        <v>0</v>
      </c>
      <c r="J35" s="16">
        <f>(Tabla13[[#This Row],[P3 + P6]])*VLOOKUP(MONTH(Tabla13[[#This Row],[Fecha final]]),Tabla20[#All],4,FALSE)</f>
        <v>3346.8863999999999</v>
      </c>
      <c r="K35" s="16">
        <f>Tabla13[[#This Row],[P1 + P4]]*VLOOKUP(MONTH(Tabla13[[#This Row],[Fecha final]]),Tabla20[#All],5,FALSE)</f>
        <v>3960</v>
      </c>
      <c r="L35" s="16">
        <f>Tabla13[[#This Row],[P2 + P5]]*VLOOKUP(MONTH(Tabla13[[#This Row],[Fecha final]]),Tabla20[#All],6,FALSE)</f>
        <v>0</v>
      </c>
      <c r="M35" s="16">
        <f>Tabla13[[#This Row],[P3 + P6]]*VLOOKUP(MONTH(Tabla13[[#This Row],[Fecha final]]),Tabla20[#All],7,FALSE)</f>
        <v>6221.1135999999997</v>
      </c>
      <c r="N35" s="16">
        <f>YEAR(Tabla13[[#This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4390</v>
      </c>
      <c r="F36" s="16">
        <v>3205</v>
      </c>
      <c r="G36" s="16">
        <v>4087</v>
      </c>
      <c r="H36" s="16">
        <f>Tabla13[[#This Row],[P1 + P4]]*VLOOKUP(MONTH(Tabla13[[#This Row],[Fecha final]]),Tabla20[#All],2,FALSE)</f>
        <v>0</v>
      </c>
      <c r="I36" s="16">
        <f>Tabla13[[#This Row],[P2 + P5]]*VLOOKUP(MONTH(Tabla13[[#This Row],[Fecha final]]),Tabla20[#All],3,FALSE)</f>
        <v>0</v>
      </c>
      <c r="J36" s="16">
        <f>(Tabla13[[#This Row],[P3 + P6]])*VLOOKUP(MONTH(Tabla13[[#This Row],[Fecha final]]),Tabla20[#All],4,FALSE)</f>
        <v>0</v>
      </c>
      <c r="K36" s="16">
        <f>Tabla13[[#This Row],[P1 + P4]]*VLOOKUP(MONTH(Tabla13[[#This Row],[Fecha final]]),Tabla20[#All],5,FALSE)</f>
        <v>4390</v>
      </c>
      <c r="L36" s="16">
        <f>Tabla13[[#This Row],[P2 + P5]]*VLOOKUP(MONTH(Tabla13[[#This Row],[Fecha final]]),Tabla20[#All],6,FALSE)</f>
        <v>3205</v>
      </c>
      <c r="M36" s="16">
        <f>Tabla13[[#This Row],[P3 + P6]]*VLOOKUP(MONTH(Tabla13[[#This Row],[Fecha final]]),Tabla20[#All],7,FALSE)</f>
        <v>4087</v>
      </c>
      <c r="N36" s="16">
        <f>YEAR(Tabla13[[#This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4258</v>
      </c>
      <c r="G37" s="16">
        <v>6849</v>
      </c>
      <c r="H37" s="16">
        <f>Tabla13[[#This Row],[P1 + P4]]*VLOOKUP(MONTH(Tabla13[[#This Row],[Fecha final]]),Tabla20[#All],2,FALSE)</f>
        <v>0</v>
      </c>
      <c r="I37" s="16">
        <f>Tabla13[[#This Row],[P2 + P5]]*VLOOKUP(MONTH(Tabla13[[#This Row],[Fecha final]]),Tabla20[#All],3,FALSE)</f>
        <v>4258</v>
      </c>
      <c r="J37" s="16">
        <f>(Tabla13[[#This Row],[P3 + P6]])*VLOOKUP(MONTH(Tabla13[[#This Row],[Fecha final]]),Tabla20[#All],4,FALSE)</f>
        <v>1895.8031999999998</v>
      </c>
      <c r="K37" s="16">
        <f>Tabla13[[#This Row],[P1 + P4]]*VLOOKUP(MONTH(Tabla13[[#This Row],[Fecha final]]),Tabla20[#All],5,FALSE)</f>
        <v>0</v>
      </c>
      <c r="L37" s="16">
        <f>Tabla13[[#This Row],[P2 + P5]]*VLOOKUP(MONTH(Tabla13[[#This Row],[Fecha final]]),Tabla20[#All],6,FALSE)</f>
        <v>0</v>
      </c>
      <c r="M37" s="16">
        <f>Tabla13[[#This Row],[P3 + P6]]*VLOOKUP(MONTH(Tabla13[[#This Row],[Fecha final]]),Tabla20[#All],7,FALSE)</f>
        <v>4953.1967999999997</v>
      </c>
      <c r="N37" s="16">
        <f>YEAR(Tabla13[[#This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4178</v>
      </c>
      <c r="F38" s="16">
        <v>2787</v>
      </c>
      <c r="G38" s="16">
        <v>4910</v>
      </c>
      <c r="H38" s="16">
        <f>Tabla13[[#This Row],[P1 + P4]]*VLOOKUP(MONTH(Tabla13[[#This Row],[Fecha final]]),Tabla20[#All],2,FALSE)</f>
        <v>4178</v>
      </c>
      <c r="I38" s="16">
        <f>Tabla13[[#This Row],[P2 + P5]]*VLOOKUP(MONTH(Tabla13[[#This Row],[Fecha final]]),Tabla20[#All],3,FALSE)</f>
        <v>2787</v>
      </c>
      <c r="J38" s="16">
        <f>(Tabla13[[#This Row],[P3 + P6]])*VLOOKUP(MONTH(Tabla13[[#This Row],[Fecha final]]),Tabla20[#All],4,FALSE)</f>
        <v>0</v>
      </c>
      <c r="K38" s="16">
        <f>Tabla13[[#This Row],[P1 + P4]]*VLOOKUP(MONTH(Tabla13[[#This Row],[Fecha final]]),Tabla20[#All],5,FALSE)</f>
        <v>0</v>
      </c>
      <c r="L38" s="16">
        <f>Tabla13[[#This Row],[P2 + P5]]*VLOOKUP(MONTH(Tabla13[[#This Row],[Fecha final]]),Tabla20[#All],6,FALSE)</f>
        <v>0</v>
      </c>
      <c r="M38" s="16">
        <f>Tabla13[[#This Row],[P3 + P6]]*VLOOKUP(MONTH(Tabla13[[#This Row],[Fecha final]]),Tabla20[#All],7,FALSE)</f>
        <v>4910</v>
      </c>
      <c r="N38" s="16">
        <f>YEAR(Tabla13[[#This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5023</v>
      </c>
      <c r="F39" s="16">
        <v>3355</v>
      </c>
      <c r="G39" s="16">
        <v>5049</v>
      </c>
      <c r="H39" s="16">
        <f>Tabla13[[#This Row],[P1 + P4]]*VLOOKUP(MONTH(Tabla13[[#This Row],[Fecha final]]),Tabla20[#All],2,FALSE)</f>
        <v>5023</v>
      </c>
      <c r="I39" s="16">
        <f>Tabla13[[#This Row],[P2 + P5]]*VLOOKUP(MONTH(Tabla13[[#This Row],[Fecha final]]),Tabla20[#All],3,FALSE)</f>
        <v>3355</v>
      </c>
      <c r="J39" s="16">
        <f>(Tabla13[[#This Row],[P3 + P6]])*VLOOKUP(MONTH(Tabla13[[#This Row],[Fecha final]]),Tabla20[#All],4,FALSE)</f>
        <v>0</v>
      </c>
      <c r="K39" s="16">
        <f>Tabla13[[#This Row],[P1 + P4]]*VLOOKUP(MONTH(Tabla13[[#This Row],[Fecha final]]),Tabla20[#All],5,FALSE)</f>
        <v>0</v>
      </c>
      <c r="L39" s="16">
        <f>Tabla13[[#This Row],[P2 + P5]]*VLOOKUP(MONTH(Tabla13[[#This Row],[Fecha final]]),Tabla20[#All],6,FALSE)</f>
        <v>0</v>
      </c>
      <c r="M39" s="16">
        <f>Tabla13[[#This Row],[P3 + P6]]*VLOOKUP(MONTH(Tabla13[[#This Row],[Fecha final]]),Tabla20[#All],7,FALSE)</f>
        <v>5049</v>
      </c>
      <c r="N39" s="16">
        <f>YEAR(Tabla13[[#This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5143</v>
      </c>
      <c r="F40" s="16">
        <v>3499</v>
      </c>
      <c r="G40" s="16">
        <v>4597</v>
      </c>
      <c r="H40" s="16">
        <f>Tabla13[[#This Row],[P1 + P4]]*VLOOKUP(MONTH(Tabla13[[#This Row],[Fecha final]]),Tabla20[#All],2,FALSE)</f>
        <v>5143</v>
      </c>
      <c r="I40" s="16">
        <f>Tabla13[[#This Row],[P2 + P5]]*VLOOKUP(MONTH(Tabla13[[#This Row],[Fecha final]]),Tabla20[#All],3,FALSE)</f>
        <v>3499</v>
      </c>
      <c r="J40" s="16">
        <f>(Tabla13[[#This Row],[P3 + P6]])*VLOOKUP(MONTH(Tabla13[[#This Row],[Fecha final]]),Tabla20[#All],4,FALSE)</f>
        <v>0</v>
      </c>
      <c r="K40" s="16">
        <f>Tabla13[[#This Row],[P1 + P4]]*VLOOKUP(MONTH(Tabla13[[#This Row],[Fecha final]]),Tabla20[#All],5,FALSE)</f>
        <v>0</v>
      </c>
      <c r="L40" s="16">
        <f>Tabla13[[#This Row],[P2 + P5]]*VLOOKUP(MONTH(Tabla13[[#This Row],[Fecha final]]),Tabla20[#All],6,FALSE)</f>
        <v>0</v>
      </c>
      <c r="M40" s="16">
        <f>Tabla13[[#This Row],[P3 + P6]]*VLOOKUP(MONTH(Tabla13[[#This Row],[Fecha final]]),Tabla20[#All],7,FALSE)</f>
        <v>4597</v>
      </c>
      <c r="N40" s="16">
        <f>YEAR(Tabla13[[#This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4964</v>
      </c>
      <c r="G41" s="16">
        <v>7669</v>
      </c>
      <c r="H41" s="16">
        <f>Tabla13[[#This Row],[P1 + P4]]*VLOOKUP(MONTH(Tabla13[[#This Row],[Fecha final]]),Tabla20[#All],2,FALSE)</f>
        <v>0</v>
      </c>
      <c r="I41" s="16">
        <f>Tabla13[[#This Row],[P2 + P5]]*VLOOKUP(MONTH(Tabla13[[#This Row],[Fecha final]]),Tabla20[#All],3,FALSE)</f>
        <v>4964</v>
      </c>
      <c r="J41" s="16">
        <f>(Tabla13[[#This Row],[P3 + P6]])*VLOOKUP(MONTH(Tabla13[[#This Row],[Fecha final]]),Tabla20[#All],4,FALSE)</f>
        <v>2299.1662000000001</v>
      </c>
      <c r="K41" s="16">
        <f>Tabla13[[#This Row],[P1 + P4]]*VLOOKUP(MONTH(Tabla13[[#This Row],[Fecha final]]),Tabla20[#All],5,FALSE)</f>
        <v>0</v>
      </c>
      <c r="L41" s="16">
        <f>Tabla13[[#This Row],[P2 + P5]]*VLOOKUP(MONTH(Tabla13[[#This Row],[Fecha final]]),Tabla20[#All],6,FALSE)</f>
        <v>0</v>
      </c>
      <c r="M41" s="16">
        <f>Tabla13[[#This Row],[P3 + P6]]*VLOOKUP(MONTH(Tabla13[[#This Row],[Fecha final]]),Tabla20[#All],7,FALSE)</f>
        <v>5369.8338000000003</v>
      </c>
      <c r="N41" s="16">
        <f>YEAR(Tabla13[[#This Row],[Fecha final]])</f>
        <v>2023</v>
      </c>
    </row>
    <row r="42" spans="1:14">
      <c r="A42" s="23"/>
      <c r="B42" s="23"/>
      <c r="C42" s="23"/>
      <c r="D42" s="23"/>
      <c r="E42" s="23">
        <f>SUBTOTAL(109,Tabla13[P1 + P4])</f>
        <v>106027</v>
      </c>
      <c r="F42" s="23">
        <f>SUBTOTAL(109,Tabla13[P2 + P5])</f>
        <v>137709</v>
      </c>
      <c r="G42" s="23">
        <f>SUBTOTAL(109,Tabla13[P3 + P6])</f>
        <v>210235</v>
      </c>
      <c r="H42" s="23">
        <f>SUBTOTAL(109,Tabla13[P1])</f>
        <v>50136</v>
      </c>
      <c r="I42" s="23">
        <f>SUBTOTAL(109,Tabla13[P2])</f>
        <v>98723</v>
      </c>
      <c r="J42" s="23">
        <f>SUBTOTAL(109,Tabla13[P3])</f>
        <v>35406.232800000005</v>
      </c>
      <c r="K42" s="23">
        <f>SUBTOTAL(109,Tabla13[P4])</f>
        <v>52593</v>
      </c>
      <c r="L42" s="23">
        <f>SUBTOTAL(109,Tabla13[P5])</f>
        <v>31921</v>
      </c>
      <c r="M42" s="23">
        <f>SUBTOTAL(109,Tabla13[P6])</f>
        <v>174828.76720000003</v>
      </c>
      <c r="N42" s="23"/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12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64</v>
      </c>
      <c r="B58" s="16" t="s">
        <v>65</v>
      </c>
      <c r="C58" s="16">
        <v>22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64</v>
      </c>
      <c r="C59" s="16">
        <v>8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56</v>
      </c>
      <c r="B66" s="16" t="s">
        <v>57</v>
      </c>
      <c r="C66" s="16">
        <v>27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55</v>
      </c>
      <c r="B67" s="16" t="s">
        <v>56</v>
      </c>
      <c r="C67" s="16">
        <v>4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54</v>
      </c>
      <c r="B68" s="16" t="s">
        <v>55</v>
      </c>
      <c r="C68" s="16">
        <v>30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53</v>
      </c>
      <c r="B69" s="16" t="s">
        <v>54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52</v>
      </c>
      <c r="B70" s="16" t="s">
        <v>53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51</v>
      </c>
      <c r="B71" s="16" t="s">
        <v>52</v>
      </c>
      <c r="C71" s="16">
        <v>30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50</v>
      </c>
      <c r="B72" s="16" t="s">
        <v>51</v>
      </c>
      <c r="C72" s="16">
        <v>31</v>
      </c>
      <c r="D72" s="16" t="s">
        <v>42</v>
      </c>
      <c r="E72" s="16">
        <v>17</v>
      </c>
      <c r="F72" s="16">
        <v>40</v>
      </c>
      <c r="G72" s="16">
        <v>26</v>
      </c>
    </row>
    <row r="73" spans="1:7">
      <c r="A73" s="16" t="s">
        <v>49</v>
      </c>
      <c r="B73" s="16" t="s">
        <v>50</v>
      </c>
      <c r="C73" s="16">
        <v>2</v>
      </c>
      <c r="D73" s="16" t="s">
        <v>42</v>
      </c>
      <c r="E73" s="16">
        <v>1</v>
      </c>
      <c r="F73" s="16">
        <v>1</v>
      </c>
      <c r="G73" s="16">
        <v>2</v>
      </c>
    </row>
    <row r="74" spans="1:7">
      <c r="A74" s="16" t="s">
        <v>48</v>
      </c>
      <c r="B74" s="16" t="s">
        <v>49</v>
      </c>
      <c r="C74" s="16">
        <v>28</v>
      </c>
      <c r="D74" s="16" t="s">
        <v>42</v>
      </c>
      <c r="E74" s="16">
        <v>42</v>
      </c>
      <c r="F74" s="16">
        <v>95</v>
      </c>
      <c r="G74" s="16">
        <v>63</v>
      </c>
    </row>
    <row r="75" spans="1:7">
      <c r="A75" s="16" t="s">
        <v>47</v>
      </c>
      <c r="B75" s="16" t="s">
        <v>48</v>
      </c>
      <c r="C75" s="16">
        <v>31</v>
      </c>
      <c r="D75" s="16" t="s">
        <v>42</v>
      </c>
      <c r="E75" s="16">
        <v>41</v>
      </c>
      <c r="F75" s="16">
        <v>128</v>
      </c>
      <c r="G75" s="16">
        <v>40</v>
      </c>
    </row>
    <row r="76" spans="1:7">
      <c r="A76" s="16" t="s">
        <v>46</v>
      </c>
      <c r="B76" s="16" t="s">
        <v>47</v>
      </c>
      <c r="C76" s="16">
        <v>28</v>
      </c>
      <c r="D76" s="16" t="s">
        <v>42</v>
      </c>
      <c r="E76" s="16">
        <v>21</v>
      </c>
      <c r="F76" s="16">
        <v>157</v>
      </c>
      <c r="G76" s="16">
        <v>39</v>
      </c>
    </row>
    <row r="77" spans="1:7">
      <c r="A77" s="16" t="s">
        <v>45</v>
      </c>
      <c r="B77" s="16" t="s">
        <v>46</v>
      </c>
      <c r="C77" s="16">
        <v>31</v>
      </c>
      <c r="D77" s="16" t="s">
        <v>42</v>
      </c>
      <c r="E77" s="16">
        <v>171</v>
      </c>
      <c r="F77" s="16">
        <v>1072</v>
      </c>
      <c r="G77" s="16">
        <v>240</v>
      </c>
    </row>
    <row r="78" spans="1:7">
      <c r="A78" s="16" t="s">
        <v>44</v>
      </c>
      <c r="B78" s="16" t="s">
        <v>45</v>
      </c>
      <c r="C78" s="16">
        <v>31</v>
      </c>
      <c r="D78" s="16" t="s">
        <v>42</v>
      </c>
      <c r="E78" s="16">
        <v>232</v>
      </c>
      <c r="F78" s="16">
        <v>1420</v>
      </c>
      <c r="G78" s="16">
        <v>324</v>
      </c>
    </row>
    <row r="79" spans="1:7">
      <c r="A79" s="16" t="s">
        <v>43</v>
      </c>
      <c r="B79" s="16" t="s">
        <v>44</v>
      </c>
      <c r="C79" s="16">
        <v>30</v>
      </c>
      <c r="D79" s="16" t="s">
        <v>42</v>
      </c>
      <c r="E79" s="16">
        <v>41</v>
      </c>
      <c r="F79" s="16">
        <v>236</v>
      </c>
      <c r="G79" s="16">
        <v>56</v>
      </c>
    </row>
    <row r="80" spans="1:7">
      <c r="A80" s="16" t="s">
        <v>41</v>
      </c>
      <c r="B80" s="16" t="s">
        <v>43</v>
      </c>
      <c r="C80" s="16">
        <v>31</v>
      </c>
      <c r="D80" s="16" t="s">
        <v>42</v>
      </c>
      <c r="E80" s="16">
        <v>7</v>
      </c>
      <c r="F80" s="16">
        <v>35</v>
      </c>
      <c r="G80" s="16">
        <v>13</v>
      </c>
    </row>
    <row r="81" spans="1:7">
      <c r="A81" s="16" t="s">
        <v>78</v>
      </c>
      <c r="B81" s="16" t="s">
        <v>41</v>
      </c>
      <c r="C81" s="16">
        <v>30</v>
      </c>
      <c r="D81" s="16" t="s">
        <v>42</v>
      </c>
      <c r="E81" s="16">
        <v>554</v>
      </c>
      <c r="F81" s="16">
        <v>1174</v>
      </c>
      <c r="G81" s="16">
        <v>367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125</v>
      </c>
      <c r="C87" s="16">
        <v>125</v>
      </c>
      <c r="D87" s="16">
        <v>125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44</v>
      </c>
      <c r="G89" s="16">
        <v>44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48</v>
      </c>
      <c r="F90" s="16">
        <v>48</v>
      </c>
      <c r="G90" s="16">
        <v>44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48</v>
      </c>
      <c r="F91" s="16">
        <v>48</v>
      </c>
      <c r="G91" s="16">
        <v>40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48</v>
      </c>
      <c r="F92" s="16">
        <v>44</v>
      </c>
      <c r="G92" s="16">
        <v>36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44</v>
      </c>
      <c r="G93" s="16">
        <v>40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40</v>
      </c>
      <c r="F94" s="16">
        <v>36</v>
      </c>
      <c r="G94" s="16">
        <v>32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44</v>
      </c>
      <c r="F95" s="16">
        <v>0</v>
      </c>
      <c r="G95" s="16">
        <v>44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44</v>
      </c>
      <c r="F96" s="16">
        <v>0</v>
      </c>
      <c r="G96" s="16">
        <v>44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48</v>
      </c>
      <c r="F97" s="16">
        <v>44</v>
      </c>
      <c r="G97" s="16">
        <v>36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44</v>
      </c>
      <c r="F98" s="16">
        <v>0</v>
      </c>
      <c r="G98" s="16">
        <v>48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46.845999999999997</v>
      </c>
      <c r="F99" s="16">
        <v>46.845999999999997</v>
      </c>
      <c r="G99" s="16">
        <v>38.329000000000001</v>
      </c>
    </row>
    <row r="100" spans="1:7">
      <c r="A100" s="16" t="s">
        <v>64</v>
      </c>
      <c r="B100" s="16" t="s">
        <v>65</v>
      </c>
      <c r="C100" s="16">
        <v>22</v>
      </c>
      <c r="D100" s="16" t="s">
        <v>42</v>
      </c>
      <c r="E100" s="16">
        <v>42.87</v>
      </c>
      <c r="F100" s="16">
        <v>42.87</v>
      </c>
      <c r="G100" s="16">
        <v>30.009</v>
      </c>
    </row>
    <row r="101" spans="1:7">
      <c r="A101" s="16" t="s">
        <v>63</v>
      </c>
      <c r="B101" s="16" t="s">
        <v>64</v>
      </c>
      <c r="C101" s="16">
        <v>8</v>
      </c>
      <c r="D101" s="16" t="s">
        <v>42</v>
      </c>
      <c r="E101" s="16">
        <v>0</v>
      </c>
      <c r="F101" s="16">
        <v>12</v>
      </c>
      <c r="G101" s="16">
        <v>0</v>
      </c>
    </row>
    <row r="102" spans="1:7">
      <c r="A102" s="16" t="s">
        <v>62</v>
      </c>
      <c r="B102" s="16" t="s">
        <v>63</v>
      </c>
      <c r="C102" s="16">
        <v>31</v>
      </c>
      <c r="D102" s="16" t="s">
        <v>42</v>
      </c>
      <c r="E102" s="16">
        <v>0</v>
      </c>
      <c r="F102" s="16">
        <v>41.25</v>
      </c>
      <c r="G102" s="16">
        <v>41.25</v>
      </c>
    </row>
    <row r="103" spans="1:7">
      <c r="A103" s="16" t="s">
        <v>61</v>
      </c>
      <c r="B103" s="16" t="s">
        <v>62</v>
      </c>
      <c r="C103" s="16">
        <v>28</v>
      </c>
      <c r="D103" s="16" t="s">
        <v>42</v>
      </c>
      <c r="E103" s="16">
        <v>19.847999999999999</v>
      </c>
      <c r="F103" s="16">
        <v>19.847999999999999</v>
      </c>
      <c r="G103" s="16">
        <v>19.847999999999999</v>
      </c>
    </row>
    <row r="104" spans="1:7">
      <c r="A104" s="16" t="s">
        <v>60</v>
      </c>
      <c r="B104" s="16" t="s">
        <v>61</v>
      </c>
      <c r="C104" s="16">
        <v>31</v>
      </c>
      <c r="D104" s="16" t="s">
        <v>42</v>
      </c>
      <c r="E104" s="16">
        <v>41.25</v>
      </c>
      <c r="F104" s="16">
        <v>41.25</v>
      </c>
      <c r="G104" s="16">
        <v>41.25</v>
      </c>
    </row>
    <row r="105" spans="1:7">
      <c r="A105" s="16" t="s">
        <v>59</v>
      </c>
      <c r="B105" s="16" t="s">
        <v>60</v>
      </c>
      <c r="C105" s="16">
        <v>29</v>
      </c>
      <c r="D105" s="16" t="s">
        <v>42</v>
      </c>
      <c r="E105" s="16">
        <v>41.25</v>
      </c>
      <c r="F105" s="16">
        <v>41.25</v>
      </c>
      <c r="G105" s="16">
        <v>41.25</v>
      </c>
    </row>
    <row r="106" spans="1:7">
      <c r="A106" s="16" t="s">
        <v>58</v>
      </c>
      <c r="B106" s="16" t="s">
        <v>59</v>
      </c>
      <c r="C106" s="16">
        <v>2</v>
      </c>
      <c r="D106" s="16" t="s">
        <v>42</v>
      </c>
      <c r="E106" s="16">
        <v>41.25</v>
      </c>
      <c r="F106" s="16">
        <v>41.25</v>
      </c>
      <c r="G106" s="16">
        <v>41.25</v>
      </c>
    </row>
    <row r="107" spans="1:7">
      <c r="A107" s="16" t="s">
        <v>57</v>
      </c>
      <c r="B107" s="16" t="s">
        <v>58</v>
      </c>
      <c r="C107" s="16">
        <v>30</v>
      </c>
      <c r="D107" s="16" t="s">
        <v>42</v>
      </c>
      <c r="E107" s="16">
        <v>0</v>
      </c>
      <c r="F107" s="16">
        <v>52</v>
      </c>
      <c r="G107" s="16">
        <v>48</v>
      </c>
    </row>
    <row r="108" spans="1:7">
      <c r="A108" s="16" t="s">
        <v>56</v>
      </c>
      <c r="B108" s="16" t="s">
        <v>57</v>
      </c>
      <c r="C108" s="16">
        <v>27</v>
      </c>
      <c r="D108" s="16" t="s">
        <v>42</v>
      </c>
      <c r="E108" s="16">
        <v>40</v>
      </c>
      <c r="F108" s="16">
        <v>40</v>
      </c>
      <c r="G108" s="16">
        <v>28</v>
      </c>
    </row>
    <row r="109" spans="1:7">
      <c r="A109" s="16" t="s">
        <v>55</v>
      </c>
      <c r="B109" s="16" t="s">
        <v>56</v>
      </c>
      <c r="C109" s="16">
        <v>4</v>
      </c>
      <c r="D109" s="16" t="s">
        <v>42</v>
      </c>
      <c r="E109" s="16">
        <v>40</v>
      </c>
      <c r="F109" s="16">
        <v>36</v>
      </c>
      <c r="G109" s="16">
        <v>28</v>
      </c>
    </row>
    <row r="110" spans="1:7">
      <c r="A110" s="16" t="s">
        <v>54</v>
      </c>
      <c r="B110" s="16" t="s">
        <v>55</v>
      </c>
      <c r="C110" s="16">
        <v>30</v>
      </c>
      <c r="D110" s="16" t="s">
        <v>42</v>
      </c>
      <c r="E110" s="16">
        <v>44</v>
      </c>
      <c r="F110" s="16">
        <v>0</v>
      </c>
      <c r="G110" s="16">
        <v>44</v>
      </c>
    </row>
    <row r="111" spans="1:7">
      <c r="A111" s="16" t="s">
        <v>53</v>
      </c>
      <c r="B111" s="16" t="s">
        <v>54</v>
      </c>
      <c r="C111" s="16">
        <v>31</v>
      </c>
      <c r="D111" s="16" t="s">
        <v>42</v>
      </c>
      <c r="E111" s="16">
        <v>44</v>
      </c>
      <c r="F111" s="16">
        <v>0</v>
      </c>
      <c r="G111" s="16">
        <v>44</v>
      </c>
    </row>
    <row r="112" spans="1:7">
      <c r="A112" s="16" t="s">
        <v>52</v>
      </c>
      <c r="B112" s="16" t="s">
        <v>53</v>
      </c>
      <c r="C112" s="16">
        <v>31</v>
      </c>
      <c r="D112" s="16" t="s">
        <v>42</v>
      </c>
      <c r="E112" s="16">
        <v>44</v>
      </c>
      <c r="F112" s="16">
        <v>44</v>
      </c>
      <c r="G112" s="16">
        <v>32</v>
      </c>
    </row>
    <row r="113" spans="1:7">
      <c r="A113" s="16" t="s">
        <v>51</v>
      </c>
      <c r="B113" s="16" t="s">
        <v>52</v>
      </c>
      <c r="C113" s="16">
        <v>30</v>
      </c>
      <c r="D113" s="16" t="s">
        <v>42</v>
      </c>
      <c r="E113" s="16">
        <v>44</v>
      </c>
      <c r="F113" s="16">
        <v>0</v>
      </c>
      <c r="G113" s="16">
        <v>48</v>
      </c>
    </row>
    <row r="114" spans="1:7">
      <c r="A114" s="16" t="s">
        <v>50</v>
      </c>
      <c r="B114" s="16" t="s">
        <v>51</v>
      </c>
      <c r="C114" s="16">
        <v>31</v>
      </c>
      <c r="D114" s="16" t="s">
        <v>42</v>
      </c>
      <c r="E114" s="16">
        <v>40</v>
      </c>
      <c r="F114" s="16">
        <v>40</v>
      </c>
      <c r="G114" s="16">
        <v>32</v>
      </c>
    </row>
    <row r="115" spans="1:7">
      <c r="A115" s="16" t="s">
        <v>49</v>
      </c>
      <c r="B115" s="16" t="s">
        <v>50</v>
      </c>
      <c r="C115" s="16">
        <v>2</v>
      </c>
      <c r="D115" s="16" t="s">
        <v>42</v>
      </c>
      <c r="E115" s="16">
        <v>32</v>
      </c>
      <c r="F115" s="16">
        <v>32</v>
      </c>
      <c r="G115" s="16">
        <v>20</v>
      </c>
    </row>
    <row r="116" spans="1:7">
      <c r="A116" s="16" t="s">
        <v>48</v>
      </c>
      <c r="B116" s="16" t="s">
        <v>49</v>
      </c>
      <c r="C116" s="16">
        <v>28</v>
      </c>
      <c r="D116" s="16" t="s">
        <v>42</v>
      </c>
      <c r="E116" s="16">
        <v>38</v>
      </c>
      <c r="F116" s="16">
        <v>38</v>
      </c>
      <c r="G116" s="16">
        <v>26</v>
      </c>
    </row>
    <row r="117" spans="1:7">
      <c r="A117" s="16" t="s">
        <v>47</v>
      </c>
      <c r="B117" s="16" t="s">
        <v>48</v>
      </c>
      <c r="C117" s="16">
        <v>31</v>
      </c>
      <c r="D117" s="16" t="s">
        <v>42</v>
      </c>
      <c r="E117" s="16">
        <v>14</v>
      </c>
      <c r="F117" s="16">
        <v>23</v>
      </c>
      <c r="G117" s="16">
        <v>12</v>
      </c>
    </row>
    <row r="118" spans="1:7">
      <c r="A118" s="16" t="s">
        <v>46</v>
      </c>
      <c r="B118" s="16" t="s">
        <v>47</v>
      </c>
      <c r="C118" s="16">
        <v>28</v>
      </c>
      <c r="D118" s="16" t="s">
        <v>42</v>
      </c>
      <c r="E118" s="16">
        <v>16</v>
      </c>
      <c r="F118" s="16">
        <v>30</v>
      </c>
      <c r="G118" s="16">
        <v>12</v>
      </c>
    </row>
    <row r="119" spans="1:7">
      <c r="A119" s="16" t="s">
        <v>45</v>
      </c>
      <c r="B119" s="16" t="s">
        <v>46</v>
      </c>
      <c r="C119" s="16">
        <v>31</v>
      </c>
      <c r="D119" s="16" t="s">
        <v>42</v>
      </c>
      <c r="E119" s="16">
        <v>33</v>
      </c>
      <c r="F119" s="16">
        <v>46</v>
      </c>
      <c r="G119" s="16">
        <v>31</v>
      </c>
    </row>
    <row r="120" spans="1:7">
      <c r="A120" s="16" t="s">
        <v>44</v>
      </c>
      <c r="B120" s="16" t="s">
        <v>45</v>
      </c>
      <c r="C120" s="16">
        <v>31</v>
      </c>
      <c r="D120" s="16" t="s">
        <v>42</v>
      </c>
      <c r="E120" s="16">
        <v>33</v>
      </c>
      <c r="F120" s="16">
        <v>46</v>
      </c>
      <c r="G120" s="16">
        <v>31</v>
      </c>
    </row>
    <row r="121" spans="1:7">
      <c r="A121" s="16" t="s">
        <v>43</v>
      </c>
      <c r="B121" s="16" t="s">
        <v>44</v>
      </c>
      <c r="C121" s="16">
        <v>30</v>
      </c>
      <c r="D121" s="16" t="s">
        <v>42</v>
      </c>
      <c r="E121" s="16">
        <v>33</v>
      </c>
      <c r="F121" s="16">
        <v>42</v>
      </c>
      <c r="G121" s="16">
        <v>32</v>
      </c>
    </row>
    <row r="122" spans="1:7">
      <c r="A122" s="16" t="s">
        <v>41</v>
      </c>
      <c r="B122" s="16" t="s">
        <v>43</v>
      </c>
      <c r="C122" s="16">
        <v>31</v>
      </c>
      <c r="D122" s="16" t="s">
        <v>42</v>
      </c>
      <c r="E122" s="16">
        <v>41</v>
      </c>
      <c r="F122" s="16">
        <v>38</v>
      </c>
      <c r="G122" s="16">
        <v>27</v>
      </c>
    </row>
    <row r="123" spans="1:7">
      <c r="A123" s="16" t="s">
        <v>78</v>
      </c>
      <c r="B123" s="16" t="s">
        <v>41</v>
      </c>
      <c r="C123" s="16">
        <v>30</v>
      </c>
      <c r="D123" s="16" t="s">
        <v>42</v>
      </c>
      <c r="E123" s="16">
        <v>44</v>
      </c>
      <c r="F123" s="16">
        <v>43</v>
      </c>
      <c r="G123" s="16">
        <v>37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0F554-CA88-4310-969F-2B1DB74DF6D0}">
  <dimension ref="A1:N129"/>
  <sheetViews>
    <sheetView workbookViewId="0">
      <selection activeCell="K14" sqref="K14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8" width="8.6640625" style="16"/>
    <col min="19" max="19" width="11.33203125" style="16" bestFit="1" customWidth="1"/>
    <col min="20" max="16384" width="8.6640625" style="16"/>
  </cols>
  <sheetData>
    <row r="1" spans="1:14">
      <c r="A1" s="16" t="s">
        <v>30</v>
      </c>
    </row>
    <row r="3" spans="1:14">
      <c r="A3" s="16" t="s">
        <v>87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45353</v>
      </c>
      <c r="C4" s="16">
        <v>27212</v>
      </c>
      <c r="D4" s="16">
        <v>77626</v>
      </c>
    </row>
    <row r="5" spans="1:14">
      <c r="A5" s="16" t="s">
        <v>36</v>
      </c>
      <c r="B5" s="16">
        <v>30</v>
      </c>
      <c r="C5" s="16">
        <v>18</v>
      </c>
      <c r="D5" s="16">
        <v>51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6" t="s">
        <v>88</v>
      </c>
      <c r="C7" s="16">
        <v>31</v>
      </c>
      <c r="D7" s="16" t="s">
        <v>42</v>
      </c>
      <c r="E7" s="16">
        <v>5588</v>
      </c>
      <c r="F7" s="16">
        <v>12027</v>
      </c>
      <c r="G7" s="16">
        <v>5091</v>
      </c>
      <c r="H7" s="16">
        <f>Tabla3[[#This Row],[P1 + P4]]*VLOOKUP(MONTH(Tabla3[[#This Row],[Fecha final]]),Tabla20[#All],2,FALSE)</f>
        <v>5588</v>
      </c>
      <c r="I7" s="16">
        <f>Tabla3[[#This Row],[P2 + P5]]*VLOOKUP(MONTH(Tabla3[[#This Row],[Fecha final]]),Tabla20[#All],3,FALSE)</f>
        <v>12027</v>
      </c>
      <c r="J7" s="16">
        <f>(Tabla3[[#This Row],[P3 + P6]])*VLOOKUP(MONTH(Tabla3[[#This Row],[Fecha final]]),Tabla20[#All],4,FALSE)</f>
        <v>0</v>
      </c>
      <c r="K7" s="16">
        <f>Tabla3[[#This Row],[P1 + P4]]*VLOOKUP(MONTH(Tabla3[[#This Row],[Fecha final]]),Tabla20[#All],5,FALSE)</f>
        <v>0</v>
      </c>
      <c r="L7" s="16">
        <f>Tabla3[[#This Row],[P2 + P5]]*VLOOKUP(MONTH(Tabla3[[#This Row],[Fecha final]]),Tabla20[#All],6,FALSE)</f>
        <v>0</v>
      </c>
      <c r="M7" s="16">
        <f>Tabla3[[#This Row],[P3 + P6]]*VLOOKUP(MONTH(Tabla3[[#This Row],[Fecha final]]),Tabla20[#All],7,FALSE)</f>
        <v>5091</v>
      </c>
      <c r="N7" s="16">
        <f>YEAR(Tabla3[[#This Row],[Fecha final]])</f>
        <v>2020</v>
      </c>
    </row>
    <row r="8" spans="1:14">
      <c r="A8" s="17">
        <v>44043</v>
      </c>
      <c r="B8" s="16" t="s">
        <v>78</v>
      </c>
      <c r="C8" s="16">
        <v>31</v>
      </c>
      <c r="D8" s="16" t="s">
        <v>42</v>
      </c>
      <c r="E8" s="16">
        <v>5215</v>
      </c>
      <c r="F8" s="16">
        <v>11401</v>
      </c>
      <c r="G8" s="16">
        <v>5089</v>
      </c>
      <c r="H8" s="16">
        <f>Tabla3[[#This Row],[P1 + P4]]*VLOOKUP(MONTH(Tabla3[[#This Row],[Fecha final]]),Tabla20[#All],2,FALSE)</f>
        <v>0</v>
      </c>
      <c r="I8" s="16">
        <f>Tabla3[[#This Row],[P2 + P5]]*VLOOKUP(MONTH(Tabla3[[#This Row],[Fecha final]]),Tabla20[#All],3,FALSE)</f>
        <v>0</v>
      </c>
      <c r="J8" s="16">
        <f>(Tabla3[[#This Row],[P3 + P6]])*VLOOKUP(MONTH(Tabla3[[#This Row],[Fecha final]]),Tabla20[#All],4,FALSE)</f>
        <v>1707.8684000000001</v>
      </c>
      <c r="K8" s="16">
        <f>Tabla3[[#This Row],[P1 + P4]]*VLOOKUP(MONTH(Tabla3[[#This Row],[Fecha final]]),Tabla20[#All],5,FALSE)</f>
        <v>5215</v>
      </c>
      <c r="L8" s="16">
        <f>Tabla3[[#This Row],[P2 + P5]]*VLOOKUP(MONTH(Tabla3[[#This Row],[Fecha final]]),Tabla20[#All],6,FALSE)</f>
        <v>0</v>
      </c>
      <c r="M8" s="16">
        <f>Tabla3[[#This Row],[P3 + P6]]*VLOOKUP(MONTH(Tabla3[[#This Row],[Fecha final]]),Tabla20[#All],7,FALSE)</f>
        <v>3381.1316000000002</v>
      </c>
      <c r="N8" s="16">
        <f>YEAR(Tabla3[[#This Row],[Fecha final]])</f>
        <v>2020</v>
      </c>
    </row>
    <row r="9" spans="1:14">
      <c r="A9" s="17">
        <v>44074</v>
      </c>
      <c r="B9" s="16" t="s">
        <v>41</v>
      </c>
      <c r="C9" s="16">
        <v>30</v>
      </c>
      <c r="D9" s="16" t="s">
        <v>42</v>
      </c>
      <c r="E9" s="16">
        <v>3478</v>
      </c>
      <c r="F9" s="16">
        <v>7880</v>
      </c>
      <c r="G9" s="16">
        <v>3581</v>
      </c>
      <c r="H9" s="16">
        <f>Tabla3[[#This Row],[P1 + P4]]*VLOOKUP(MONTH(Tabla3[[#This Row],[Fecha final]]),Tabla20[#All],2,FALSE)</f>
        <v>0</v>
      </c>
      <c r="I9" s="16">
        <f>Tabla3[[#This Row],[P2 + P5]]*VLOOKUP(MONTH(Tabla3[[#This Row],[Fecha final]]),Tabla20[#All],3,FALSE)</f>
        <v>0</v>
      </c>
      <c r="J9" s="16">
        <f>(Tabla3[[#This Row],[P3 + P6]])*VLOOKUP(MONTH(Tabla3[[#This Row],[Fecha final]]),Tabla20[#All],4,FALSE)</f>
        <v>1252.6338000000001</v>
      </c>
      <c r="K9" s="16">
        <f>Tabla3[[#This Row],[P1 + P4]]*VLOOKUP(MONTH(Tabla3[[#This Row],[Fecha final]]),Tabla20[#All],5,FALSE)</f>
        <v>3478</v>
      </c>
      <c r="L9" s="16">
        <f>Tabla3[[#This Row],[P2 + P5]]*VLOOKUP(MONTH(Tabla3[[#This Row],[Fecha final]]),Tabla20[#All],6,FALSE)</f>
        <v>0</v>
      </c>
      <c r="M9" s="16">
        <f>Tabla3[[#This Row],[P3 + P6]]*VLOOKUP(MONTH(Tabla3[[#This Row],[Fecha final]]),Tabla20[#All],7,FALSE)</f>
        <v>2328.3661999999999</v>
      </c>
      <c r="N9" s="16">
        <f>YEAR(Tabla3[[#This Row],[Fecha final]])</f>
        <v>2020</v>
      </c>
    </row>
    <row r="10" spans="1:14">
      <c r="A10" s="17">
        <v>44104</v>
      </c>
      <c r="B10" s="16" t="s">
        <v>43</v>
      </c>
      <c r="C10" s="16">
        <v>31</v>
      </c>
      <c r="D10" s="16" t="s">
        <v>42</v>
      </c>
      <c r="E10" s="16">
        <v>1808</v>
      </c>
      <c r="F10" s="16">
        <v>4656</v>
      </c>
      <c r="G10" s="16">
        <v>2734</v>
      </c>
      <c r="H10" s="16">
        <f>Tabla3[[#This Row],[P1 + P4]]*VLOOKUP(MONTH(Tabla3[[#This Row],[Fecha final]]),Tabla20[#All],2,FALSE)</f>
        <v>0</v>
      </c>
      <c r="I10" s="16">
        <f>Tabla3[[#This Row],[P2 + P5]]*VLOOKUP(MONTH(Tabla3[[#This Row],[Fecha final]]),Tabla20[#All],3,FALSE)</f>
        <v>0</v>
      </c>
      <c r="J10" s="16">
        <f>(Tabla3[[#This Row],[P3 + P6]])*VLOOKUP(MONTH(Tabla3[[#This Row],[Fecha final]]),Tabla20[#All],4,FALSE)</f>
        <v>0</v>
      </c>
      <c r="K10" s="16">
        <f>Tabla3[[#This Row],[P1 + P4]]*VLOOKUP(MONTH(Tabla3[[#This Row],[Fecha final]]),Tabla20[#All],5,FALSE)</f>
        <v>1808</v>
      </c>
      <c r="L10" s="16">
        <f>Tabla3[[#This Row],[P2 + P5]]*VLOOKUP(MONTH(Tabla3[[#This Row],[Fecha final]]),Tabla20[#All],6,FALSE)</f>
        <v>4656</v>
      </c>
      <c r="M10" s="16">
        <f>Tabla3[[#This Row],[P3 + P6]]*VLOOKUP(MONTH(Tabla3[[#This Row],[Fecha final]]),Tabla20[#All],7,FALSE)</f>
        <v>2734</v>
      </c>
      <c r="N10" s="16">
        <f>YEAR(Tabla3[[#This Row],[Fecha final]])</f>
        <v>2020</v>
      </c>
    </row>
    <row r="11" spans="1:14">
      <c r="A11" s="17">
        <v>44135</v>
      </c>
      <c r="B11" s="16" t="s">
        <v>44</v>
      </c>
      <c r="C11" s="16">
        <v>30</v>
      </c>
      <c r="D11" s="16" t="s">
        <v>42</v>
      </c>
      <c r="E11" s="16">
        <v>1552</v>
      </c>
      <c r="F11" s="16">
        <v>5922</v>
      </c>
      <c r="G11" s="16">
        <v>3169</v>
      </c>
      <c r="H11" s="16">
        <f>Tabla3[[#This Row],[P1 + P4]]*VLOOKUP(MONTH(Tabla3[[#This Row],[Fecha final]]),Tabla20[#All],2,FALSE)</f>
        <v>0</v>
      </c>
      <c r="I11" s="16">
        <f>Tabla3[[#This Row],[P2 + P5]]*VLOOKUP(MONTH(Tabla3[[#This Row],[Fecha final]]),Tabla20[#All],3,FALSE)</f>
        <v>5922</v>
      </c>
      <c r="J11" s="16">
        <f>(Tabla3[[#This Row],[P3 + P6]])*VLOOKUP(MONTH(Tabla3[[#This Row],[Fecha final]]),Tabla20[#All],4,FALSE)</f>
        <v>877.17919999999992</v>
      </c>
      <c r="K11" s="16">
        <f>Tabla3[[#This Row],[P1 + P4]]*VLOOKUP(MONTH(Tabla3[[#This Row],[Fecha final]]),Tabla20[#All],5,FALSE)</f>
        <v>0</v>
      </c>
      <c r="L11" s="16">
        <f>Tabla3[[#This Row],[P2 + P5]]*VLOOKUP(MONTH(Tabla3[[#This Row],[Fecha final]]),Tabla20[#All],6,FALSE)</f>
        <v>0</v>
      </c>
      <c r="M11" s="16">
        <f>Tabla3[[#This Row],[P3 + P6]]*VLOOKUP(MONTH(Tabla3[[#This Row],[Fecha final]]),Tabla20[#All],7,FALSE)</f>
        <v>2291.8208</v>
      </c>
      <c r="N11" s="16">
        <f>YEAR(Tabla3[[#This Row],[Fecha final]])</f>
        <v>2020</v>
      </c>
    </row>
    <row r="12" spans="1:14">
      <c r="A12" s="17">
        <v>44165</v>
      </c>
      <c r="B12" s="16" t="s">
        <v>45</v>
      </c>
      <c r="C12" s="16">
        <v>31</v>
      </c>
      <c r="D12" s="16" t="s">
        <v>42</v>
      </c>
      <c r="E12" s="16">
        <v>1940</v>
      </c>
      <c r="F12" s="16">
        <v>8469</v>
      </c>
      <c r="G12" s="16">
        <v>4081</v>
      </c>
      <c r="H12" s="16">
        <f>Tabla3[[#This Row],[P1 + P4]]*VLOOKUP(MONTH(Tabla3[[#This Row],[Fecha final]]),Tabla20[#All],2,FALSE)</f>
        <v>1940</v>
      </c>
      <c r="I12" s="16">
        <f>Tabla3[[#This Row],[P2 + P5]]*VLOOKUP(MONTH(Tabla3[[#This Row],[Fecha final]]),Tabla20[#All],3,FALSE)</f>
        <v>8469</v>
      </c>
      <c r="J12" s="16">
        <f>(Tabla3[[#This Row],[P3 + P6]])*VLOOKUP(MONTH(Tabla3[[#This Row],[Fecha final]]),Tabla20[#All],4,FALSE)</f>
        <v>0</v>
      </c>
      <c r="K12" s="16">
        <f>Tabla3[[#This Row],[P1 + P4]]*VLOOKUP(MONTH(Tabla3[[#This Row],[Fecha final]]),Tabla20[#All],5,FALSE)</f>
        <v>0</v>
      </c>
      <c r="L12" s="16">
        <f>Tabla3[[#This Row],[P2 + P5]]*VLOOKUP(MONTH(Tabla3[[#This Row],[Fecha final]]),Tabla20[#All],6,FALSE)</f>
        <v>0</v>
      </c>
      <c r="M12" s="16">
        <f>Tabla3[[#This Row],[P3 + P6]]*VLOOKUP(MONTH(Tabla3[[#This Row],[Fecha final]]),Tabla20[#All],7,FALSE)</f>
        <v>4081</v>
      </c>
      <c r="N12" s="16">
        <f>YEAR(Tabla3[[#This Row],[Fecha final]])</f>
        <v>2020</v>
      </c>
    </row>
    <row r="13" spans="1:14">
      <c r="A13" s="17">
        <v>44196</v>
      </c>
      <c r="B13" s="16" t="s">
        <v>46</v>
      </c>
      <c r="C13" s="16">
        <v>31</v>
      </c>
      <c r="D13" s="16" t="s">
        <v>42</v>
      </c>
      <c r="E13" s="16">
        <v>2266</v>
      </c>
      <c r="F13" s="16">
        <v>9888</v>
      </c>
      <c r="G13" s="16">
        <v>4641</v>
      </c>
      <c r="H13" s="16">
        <f>Tabla3[[#This Row],[P1 + P4]]*VLOOKUP(MONTH(Tabla3[[#This Row],[Fecha final]]),Tabla20[#All],2,FALSE)</f>
        <v>2266</v>
      </c>
      <c r="I13" s="16">
        <f>Tabla3[[#This Row],[P2 + P5]]*VLOOKUP(MONTH(Tabla3[[#This Row],[Fecha final]]),Tabla20[#All],3,FALSE)</f>
        <v>9888</v>
      </c>
      <c r="J13" s="16">
        <f>(Tabla3[[#This Row],[P3 + P6]])*VLOOKUP(MONTH(Tabla3[[#This Row],[Fecha final]]),Tabla20[#All],4,FALSE)</f>
        <v>0</v>
      </c>
      <c r="K13" s="16">
        <f>Tabla3[[#This Row],[P1 + P4]]*VLOOKUP(MONTH(Tabla3[[#This Row],[Fecha final]]),Tabla20[#All],5,FALSE)</f>
        <v>0</v>
      </c>
      <c r="L13" s="16">
        <f>Tabla3[[#This Row],[P2 + P5]]*VLOOKUP(MONTH(Tabla3[[#This Row],[Fecha final]]),Tabla20[#All],6,FALSE)</f>
        <v>0</v>
      </c>
      <c r="M13" s="16">
        <f>Tabla3[[#This Row],[P3 + P6]]*VLOOKUP(MONTH(Tabla3[[#This Row],[Fecha final]]),Tabla20[#All],7,FALSE)</f>
        <v>4641</v>
      </c>
      <c r="N13" s="16">
        <f>YEAR(Tabla3[[#This Row],[Fecha final]])</f>
        <v>2021</v>
      </c>
    </row>
    <row r="14" spans="1:14">
      <c r="A14" s="17">
        <v>44227</v>
      </c>
      <c r="B14" s="16" t="s">
        <v>47</v>
      </c>
      <c r="C14" s="16">
        <v>28</v>
      </c>
      <c r="D14" s="16" t="s">
        <v>42</v>
      </c>
      <c r="E14" s="16">
        <v>1680</v>
      </c>
      <c r="F14" s="16">
        <v>6887</v>
      </c>
      <c r="G14" s="16">
        <v>3335</v>
      </c>
      <c r="H14" s="16">
        <f>Tabla3[[#This Row],[P1 + P4]]*VLOOKUP(MONTH(Tabla3[[#This Row],[Fecha final]]),Tabla20[#All],2,FALSE)</f>
        <v>1680</v>
      </c>
      <c r="I14" s="16">
        <f>Tabla3[[#This Row],[P2 + P5]]*VLOOKUP(MONTH(Tabla3[[#This Row],[Fecha final]]),Tabla20[#All],3,FALSE)</f>
        <v>6887</v>
      </c>
      <c r="J14" s="16">
        <f>(Tabla3[[#This Row],[P3 + P6]])*VLOOKUP(MONTH(Tabla3[[#This Row],[Fecha final]]),Tabla20[#All],4,FALSE)</f>
        <v>0</v>
      </c>
      <c r="K14" s="16">
        <f>Tabla3[[#This Row],[P1 + P4]]*VLOOKUP(MONTH(Tabla3[[#This Row],[Fecha final]]),Tabla20[#All],5,FALSE)</f>
        <v>0</v>
      </c>
      <c r="L14" s="16">
        <f>Tabla3[[#This Row],[P2 + P5]]*VLOOKUP(MONTH(Tabla3[[#This Row],[Fecha final]]),Tabla20[#All],6,FALSE)</f>
        <v>0</v>
      </c>
      <c r="M14" s="16">
        <f>Tabla3[[#This Row],[P3 + P6]]*VLOOKUP(MONTH(Tabla3[[#This Row],[Fecha final]]),Tabla20[#All],7,FALSE)</f>
        <v>3335</v>
      </c>
      <c r="N14" s="16">
        <f>YEAR(Tabla3[[#This Row],[Fecha final]])</f>
        <v>2021</v>
      </c>
    </row>
    <row r="15" spans="1:14">
      <c r="A15" s="17">
        <v>44255</v>
      </c>
      <c r="B15" s="16" t="s">
        <v>48</v>
      </c>
      <c r="C15" s="16">
        <v>31</v>
      </c>
      <c r="D15" s="16" t="s">
        <v>42</v>
      </c>
      <c r="E15" s="16">
        <v>1838</v>
      </c>
      <c r="F15" s="16">
        <v>6718</v>
      </c>
      <c r="G15" s="16">
        <v>3527</v>
      </c>
      <c r="H15" s="16">
        <f>Tabla3[[#This Row],[P1 + P4]]*VLOOKUP(MONTH(Tabla3[[#This Row],[Fecha final]]),Tabla20[#All],2,FALSE)</f>
        <v>0</v>
      </c>
      <c r="I15" s="16">
        <f>Tabla3[[#This Row],[P2 + P5]]*VLOOKUP(MONTH(Tabla3[[#This Row],[Fecha final]]),Tabla20[#All],3,FALSE)</f>
        <v>6718</v>
      </c>
      <c r="J15" s="16">
        <f>(Tabla3[[#This Row],[P3 + P6]])*VLOOKUP(MONTH(Tabla3[[#This Row],[Fecha final]]),Tabla20[#All],4,FALSE)</f>
        <v>1057.3946000000001</v>
      </c>
      <c r="K15" s="16">
        <f>Tabla3[[#This Row],[P1 + P4]]*VLOOKUP(MONTH(Tabla3[[#This Row],[Fecha final]]),Tabla20[#All],5,FALSE)</f>
        <v>0</v>
      </c>
      <c r="L15" s="16">
        <f>Tabla3[[#This Row],[P2 + P5]]*VLOOKUP(MONTH(Tabla3[[#This Row],[Fecha final]]),Tabla20[#All],6,FALSE)</f>
        <v>0</v>
      </c>
      <c r="M15" s="16">
        <f>Tabla3[[#This Row],[P3 + P6]]*VLOOKUP(MONTH(Tabla3[[#This Row],[Fecha final]]),Tabla20[#All],7,FALSE)</f>
        <v>2469.6054000000004</v>
      </c>
      <c r="N15" s="16">
        <f>YEAR(Tabla3[[#This Row],[Fecha final]])</f>
        <v>2021</v>
      </c>
    </row>
    <row r="16" spans="1:14">
      <c r="A16" s="17">
        <v>44286</v>
      </c>
      <c r="B16" s="16" t="s">
        <v>49</v>
      </c>
      <c r="C16" s="16">
        <v>28</v>
      </c>
      <c r="D16" s="16" t="s">
        <v>42</v>
      </c>
      <c r="E16" s="16">
        <v>1948</v>
      </c>
      <c r="F16" s="16">
        <v>4865</v>
      </c>
      <c r="G16" s="16">
        <v>2790</v>
      </c>
      <c r="H16" s="16">
        <f>Tabla3[[#This Row],[P1 + P4]]*VLOOKUP(MONTH(Tabla3[[#This Row],[Fecha final]]),Tabla20[#All],2,FALSE)</f>
        <v>0</v>
      </c>
      <c r="I16" s="16">
        <f>Tabla3[[#This Row],[P2 + P5]]*VLOOKUP(MONTH(Tabla3[[#This Row],[Fecha final]]),Tabla20[#All],3,FALSE)</f>
        <v>0</v>
      </c>
      <c r="J16" s="16">
        <f>(Tabla3[[#This Row],[P3 + P6]])*VLOOKUP(MONTH(Tabla3[[#This Row],[Fecha final]]),Tabla20[#All],4,FALSE)</f>
        <v>0</v>
      </c>
      <c r="K16" s="16">
        <f>Tabla3[[#This Row],[P1 + P4]]*VLOOKUP(MONTH(Tabla3[[#This Row],[Fecha final]]),Tabla20[#All],5,FALSE)</f>
        <v>1948</v>
      </c>
      <c r="L16" s="16">
        <f>Tabla3[[#This Row],[P2 + P5]]*VLOOKUP(MONTH(Tabla3[[#This Row],[Fecha final]]),Tabla20[#All],6,FALSE)</f>
        <v>4865</v>
      </c>
      <c r="M16" s="16">
        <f>Tabla3[[#This Row],[P3 + P6]]*VLOOKUP(MONTH(Tabla3[[#This Row],[Fecha final]]),Tabla20[#All],7,FALSE)</f>
        <v>2790</v>
      </c>
      <c r="N16" s="16">
        <f>YEAR(Tabla3[[#This Row],[Fecha final]])</f>
        <v>2021</v>
      </c>
    </row>
    <row r="17" spans="1:14">
      <c r="A17" s="17">
        <v>44314</v>
      </c>
      <c r="B17" s="16" t="s">
        <v>50</v>
      </c>
      <c r="C17" s="16">
        <v>2</v>
      </c>
      <c r="D17" s="16" t="s">
        <v>42</v>
      </c>
      <c r="E17" s="16">
        <v>125</v>
      </c>
      <c r="F17" s="16">
        <v>313</v>
      </c>
      <c r="G17" s="16">
        <v>164</v>
      </c>
      <c r="H17" s="16">
        <f>Tabla3[[#This Row],[P1 + P4]]*VLOOKUP(MONTH(Tabla3[[#This Row],[Fecha final]]),Tabla20[#All],2,FALSE)</f>
        <v>0</v>
      </c>
      <c r="I17" s="16">
        <f>Tabla3[[#This Row],[P2 + P5]]*VLOOKUP(MONTH(Tabla3[[#This Row],[Fecha final]]),Tabla20[#All],3,FALSE)</f>
        <v>0</v>
      </c>
      <c r="J17" s="16">
        <f>(Tabla3[[#This Row],[P3 + P6]])*VLOOKUP(MONTH(Tabla3[[#This Row],[Fecha final]]),Tabla20[#All],4,FALSE)</f>
        <v>0</v>
      </c>
      <c r="K17" s="16">
        <f>Tabla3[[#This Row],[P1 + P4]]*VLOOKUP(MONTH(Tabla3[[#This Row],[Fecha final]]),Tabla20[#All],5,FALSE)</f>
        <v>125</v>
      </c>
      <c r="L17" s="16">
        <f>Tabla3[[#This Row],[P2 + P5]]*VLOOKUP(MONTH(Tabla3[[#This Row],[Fecha final]]),Tabla20[#All],6,FALSE)</f>
        <v>313</v>
      </c>
      <c r="M17" s="16">
        <f>Tabla3[[#This Row],[P3 + P6]]*VLOOKUP(MONTH(Tabla3[[#This Row],[Fecha final]]),Tabla20[#All],7,FALSE)</f>
        <v>164</v>
      </c>
      <c r="N17" s="16">
        <f>YEAR(Tabla3[[#This Row],[Fecha final]])</f>
        <v>2021</v>
      </c>
    </row>
    <row r="18" spans="1:14">
      <c r="A18" s="17">
        <v>44316</v>
      </c>
      <c r="B18" s="16" t="s">
        <v>51</v>
      </c>
      <c r="C18" s="16">
        <v>31</v>
      </c>
      <c r="D18" s="16" t="s">
        <v>42</v>
      </c>
      <c r="E18" s="16">
        <v>1420</v>
      </c>
      <c r="F18" s="16">
        <v>3706</v>
      </c>
      <c r="G18" s="16">
        <v>2089</v>
      </c>
      <c r="H18" s="16">
        <f>Tabla3[[#This Row],[P1 + P4]]*VLOOKUP(MONTH(Tabla3[[#This Row],[Fecha final]]),Tabla20[#All],2,FALSE)</f>
        <v>0</v>
      </c>
      <c r="I18" s="16">
        <f>Tabla3[[#This Row],[P2 + P5]]*VLOOKUP(MONTH(Tabla3[[#This Row],[Fecha final]]),Tabla20[#All],3,FALSE)</f>
        <v>0</v>
      </c>
      <c r="J18" s="16">
        <f>(Tabla3[[#This Row],[P3 + P6]])*VLOOKUP(MONTH(Tabla3[[#This Row],[Fecha final]]),Tabla20[#All],4,FALSE)</f>
        <v>0</v>
      </c>
      <c r="K18" s="16">
        <f>Tabla3[[#This Row],[P1 + P4]]*VLOOKUP(MONTH(Tabla3[[#This Row],[Fecha final]]),Tabla20[#All],5,FALSE)</f>
        <v>1420</v>
      </c>
      <c r="L18" s="16">
        <f>Tabla3[[#This Row],[P2 + P5]]*VLOOKUP(MONTH(Tabla3[[#This Row],[Fecha final]]),Tabla20[#All],6,FALSE)</f>
        <v>3706</v>
      </c>
      <c r="M18" s="16">
        <f>Tabla3[[#This Row],[P3 + P6]]*VLOOKUP(MONTH(Tabla3[[#This Row],[Fecha final]]),Tabla20[#All],7,FALSE)</f>
        <v>2089</v>
      </c>
      <c r="N18" s="16">
        <f>YEAR(Tabla3[[#This Row],[Fecha final]])</f>
        <v>2021</v>
      </c>
    </row>
    <row r="19" spans="1:14">
      <c r="A19" s="17">
        <v>44347</v>
      </c>
      <c r="B19" s="16" t="s">
        <v>52</v>
      </c>
      <c r="C19" s="16">
        <v>30</v>
      </c>
      <c r="D19" s="16" t="s">
        <v>42</v>
      </c>
      <c r="E19" s="16">
        <v>4807</v>
      </c>
      <c r="F19" s="16">
        <v>0</v>
      </c>
      <c r="G19" s="16">
        <v>12318</v>
      </c>
      <c r="H19" s="16">
        <f>Tabla3[[#This Row],[P1 + P4]]*VLOOKUP(MONTH(Tabla3[[#This Row],[Fecha final]]),Tabla20[#All],2,FALSE)</f>
        <v>0</v>
      </c>
      <c r="I19" s="16">
        <f>Tabla3[[#This Row],[P2 + P5]]*VLOOKUP(MONTH(Tabla3[[#This Row],[Fecha final]]),Tabla20[#All],3,FALSE)</f>
        <v>0</v>
      </c>
      <c r="J19" s="16">
        <f>(Tabla3[[#This Row],[P3 + P6]])*VLOOKUP(MONTH(Tabla3[[#This Row],[Fecha final]]),Tabla20[#All],4,FALSE)</f>
        <v>4308.8364000000001</v>
      </c>
      <c r="K19" s="16">
        <f>Tabla3[[#This Row],[P1 + P4]]*VLOOKUP(MONTH(Tabla3[[#This Row],[Fecha final]]),Tabla20[#All],5,FALSE)</f>
        <v>4807</v>
      </c>
      <c r="L19" s="16">
        <f>Tabla3[[#This Row],[P2 + P5]]*VLOOKUP(MONTH(Tabla3[[#This Row],[Fecha final]]),Tabla20[#All],6,FALSE)</f>
        <v>0</v>
      </c>
      <c r="M19" s="16">
        <f>Tabla3[[#This Row],[P3 + P6]]*VLOOKUP(MONTH(Tabla3[[#This Row],[Fecha final]]),Tabla20[#All],7,FALSE)</f>
        <v>8009.1635999999999</v>
      </c>
      <c r="N19" s="16">
        <f>YEAR(Tabla3[[#This Row],[Fecha final]])</f>
        <v>2021</v>
      </c>
    </row>
    <row r="20" spans="1:14">
      <c r="A20" s="17">
        <v>44377</v>
      </c>
      <c r="B20" s="16" t="s">
        <v>53</v>
      </c>
      <c r="C20" s="16">
        <v>31</v>
      </c>
      <c r="D20" s="16" t="s">
        <v>42</v>
      </c>
      <c r="E20" s="16">
        <v>8162</v>
      </c>
      <c r="F20" s="16">
        <v>5731</v>
      </c>
      <c r="G20" s="16">
        <v>5057</v>
      </c>
      <c r="H20" s="16">
        <f>Tabla3[[#This Row],[P1 + P4]]*VLOOKUP(MONTH(Tabla3[[#This Row],[Fecha final]]),Tabla20[#All],2,FALSE)</f>
        <v>8162</v>
      </c>
      <c r="I20" s="16">
        <f>Tabla3[[#This Row],[P2 + P5]]*VLOOKUP(MONTH(Tabla3[[#This Row],[Fecha final]]),Tabla20[#All],3,FALSE)</f>
        <v>5731</v>
      </c>
      <c r="J20" s="16">
        <f>(Tabla3[[#This Row],[P3 + P6]])*VLOOKUP(MONTH(Tabla3[[#This Row],[Fecha final]]),Tabla20[#All],4,FALSE)</f>
        <v>0</v>
      </c>
      <c r="K20" s="16">
        <f>Tabla3[[#This Row],[P1 + P4]]*VLOOKUP(MONTH(Tabla3[[#This Row],[Fecha final]]),Tabla20[#All],5,FALSE)</f>
        <v>0</v>
      </c>
      <c r="L20" s="16">
        <f>Tabla3[[#This Row],[P2 + P5]]*VLOOKUP(MONTH(Tabla3[[#This Row],[Fecha final]]),Tabla20[#All],6,FALSE)</f>
        <v>0</v>
      </c>
      <c r="M20" s="16">
        <f>Tabla3[[#This Row],[P3 + P6]]*VLOOKUP(MONTH(Tabla3[[#This Row],[Fecha final]]),Tabla20[#All],7,FALSE)</f>
        <v>5057</v>
      </c>
      <c r="N20" s="16">
        <f>YEAR(Tabla3[[#This Row],[Fecha final]])</f>
        <v>2021</v>
      </c>
    </row>
    <row r="21" spans="1:14">
      <c r="A21" s="17">
        <v>44408</v>
      </c>
      <c r="B21" s="16" t="s">
        <v>54</v>
      </c>
      <c r="C21" s="16">
        <v>31</v>
      </c>
      <c r="D21" s="16" t="s">
        <v>42</v>
      </c>
      <c r="E21" s="16">
        <v>5120</v>
      </c>
      <c r="F21" s="16">
        <v>0</v>
      </c>
      <c r="G21" s="16">
        <v>11757</v>
      </c>
      <c r="H21" s="16">
        <f>Tabla3[[#This Row],[P1 + P4]]*VLOOKUP(MONTH(Tabla3[[#This Row],[Fecha final]]),Tabla20[#All],2,FALSE)</f>
        <v>0</v>
      </c>
      <c r="I21" s="16">
        <f>Tabla3[[#This Row],[P2 + P5]]*VLOOKUP(MONTH(Tabla3[[#This Row],[Fecha final]]),Tabla20[#All],3,FALSE)</f>
        <v>0</v>
      </c>
      <c r="J21" s="16">
        <f>(Tabla3[[#This Row],[P3 + P6]])*VLOOKUP(MONTH(Tabla3[[#This Row],[Fecha final]]),Tabla20[#All],4,FALSE)</f>
        <v>3945.6492000000003</v>
      </c>
      <c r="K21" s="16">
        <f>Tabla3[[#This Row],[P1 + P4]]*VLOOKUP(MONTH(Tabla3[[#This Row],[Fecha final]]),Tabla20[#All],5,FALSE)</f>
        <v>5120</v>
      </c>
      <c r="L21" s="16">
        <f>Tabla3[[#This Row],[P2 + P5]]*VLOOKUP(MONTH(Tabla3[[#This Row],[Fecha final]]),Tabla20[#All],6,FALSE)</f>
        <v>0</v>
      </c>
      <c r="M21" s="16">
        <f>Tabla3[[#This Row],[P3 + P6]]*VLOOKUP(MONTH(Tabla3[[#This Row],[Fecha final]]),Tabla20[#All],7,FALSE)</f>
        <v>7811.3508000000002</v>
      </c>
      <c r="N21" s="16">
        <f>YEAR(Tabla3[[#This Row],[Fecha final]])</f>
        <v>2021</v>
      </c>
    </row>
    <row r="22" spans="1:14">
      <c r="A22" s="17">
        <v>44439</v>
      </c>
      <c r="B22" s="16" t="s">
        <v>55</v>
      </c>
      <c r="C22" s="16">
        <v>30</v>
      </c>
      <c r="D22" s="16" t="s">
        <v>42</v>
      </c>
      <c r="E22" s="16">
        <v>4619</v>
      </c>
      <c r="F22" s="16">
        <v>0</v>
      </c>
      <c r="G22" s="16">
        <v>10036</v>
      </c>
      <c r="H22" s="16">
        <f>Tabla3[[#This Row],[P1 + P4]]*VLOOKUP(MONTH(Tabla3[[#This Row],[Fecha final]]),Tabla20[#All],2,FALSE)</f>
        <v>0</v>
      </c>
      <c r="I22" s="16">
        <f>Tabla3[[#This Row],[P2 + P5]]*VLOOKUP(MONTH(Tabla3[[#This Row],[Fecha final]]),Tabla20[#All],3,FALSE)</f>
        <v>0</v>
      </c>
      <c r="J22" s="16">
        <f>(Tabla3[[#This Row],[P3 + P6]])*VLOOKUP(MONTH(Tabla3[[#This Row],[Fecha final]]),Tabla20[#All],4,FALSE)</f>
        <v>3510.5927999999999</v>
      </c>
      <c r="K22" s="16">
        <f>Tabla3[[#This Row],[P1 + P4]]*VLOOKUP(MONTH(Tabla3[[#This Row],[Fecha final]]),Tabla20[#All],5,FALSE)</f>
        <v>4619</v>
      </c>
      <c r="L22" s="16">
        <f>Tabla3[[#This Row],[P2 + P5]]*VLOOKUP(MONTH(Tabla3[[#This Row],[Fecha final]]),Tabla20[#All],6,FALSE)</f>
        <v>0</v>
      </c>
      <c r="M22" s="16">
        <f>Tabla3[[#This Row],[P3 + P6]]*VLOOKUP(MONTH(Tabla3[[#This Row],[Fecha final]]),Tabla20[#All],7,FALSE)</f>
        <v>6525.4071999999996</v>
      </c>
      <c r="N22" s="16">
        <f>YEAR(Tabla3[[#This Row],[Fecha final]])</f>
        <v>2021</v>
      </c>
    </row>
    <row r="23" spans="1:14">
      <c r="A23" s="17">
        <v>44469</v>
      </c>
      <c r="B23" s="16" t="s">
        <v>57</v>
      </c>
      <c r="C23" s="16">
        <v>31</v>
      </c>
      <c r="D23" s="16" t="s">
        <v>42</v>
      </c>
      <c r="E23" s="16">
        <v>2482</v>
      </c>
      <c r="F23" s="16">
        <v>1987</v>
      </c>
      <c r="G23" s="16">
        <v>2963</v>
      </c>
      <c r="H23" s="16">
        <f>Tabla3[[#This Row],[P1 + P4]]*VLOOKUP(MONTH(Tabla3[[#This Row],[Fecha final]]),Tabla20[#All],2,FALSE)</f>
        <v>0</v>
      </c>
      <c r="I23" s="16">
        <f>Tabla3[[#This Row],[P2 + P5]]*VLOOKUP(MONTH(Tabla3[[#This Row],[Fecha final]]),Tabla20[#All],3,FALSE)</f>
        <v>0</v>
      </c>
      <c r="J23" s="16">
        <f>(Tabla3[[#This Row],[P3 + P6]])*VLOOKUP(MONTH(Tabla3[[#This Row],[Fecha final]]),Tabla20[#All],4,FALSE)</f>
        <v>0</v>
      </c>
      <c r="K23" s="16">
        <f>Tabla3[[#This Row],[P1 + P4]]*VLOOKUP(MONTH(Tabla3[[#This Row],[Fecha final]]),Tabla20[#All],5,FALSE)</f>
        <v>2482</v>
      </c>
      <c r="L23" s="16">
        <f>Tabla3[[#This Row],[P2 + P5]]*VLOOKUP(MONTH(Tabla3[[#This Row],[Fecha final]]),Tabla20[#All],6,FALSE)</f>
        <v>1987</v>
      </c>
      <c r="M23" s="16">
        <f>Tabla3[[#This Row],[P3 + P6]]*VLOOKUP(MONTH(Tabla3[[#This Row],[Fecha final]]),Tabla20[#All],7,FALSE)</f>
        <v>2963</v>
      </c>
      <c r="N23" s="16">
        <f>YEAR(Tabla3[[#This Row],[Fecha final]])</f>
        <v>2021</v>
      </c>
    </row>
    <row r="24" spans="1:14">
      <c r="A24" s="17">
        <v>44500</v>
      </c>
      <c r="B24" s="16" t="s">
        <v>58</v>
      </c>
      <c r="C24" s="16">
        <v>30</v>
      </c>
      <c r="D24" s="16" t="s">
        <v>42</v>
      </c>
      <c r="E24" s="16">
        <v>0</v>
      </c>
      <c r="F24" s="16">
        <v>3621</v>
      </c>
      <c r="G24" s="16">
        <v>6688</v>
      </c>
      <c r="H24" s="16">
        <f>Tabla3[[#This Row],[P1 + P4]]*VLOOKUP(MONTH(Tabla3[[#This Row],[Fecha final]]),Tabla20[#All],2,FALSE)</f>
        <v>0</v>
      </c>
      <c r="I24" s="16">
        <f>Tabla3[[#This Row],[P2 + P5]]*VLOOKUP(MONTH(Tabla3[[#This Row],[Fecha final]]),Tabla20[#All],3,FALSE)</f>
        <v>3621</v>
      </c>
      <c r="J24" s="16">
        <f>(Tabla3[[#This Row],[P3 + P6]])*VLOOKUP(MONTH(Tabla3[[#This Row],[Fecha final]]),Tabla20[#All],4,FALSE)</f>
        <v>1851.2384</v>
      </c>
      <c r="K24" s="16">
        <f>Tabla3[[#This Row],[P1 + P4]]*VLOOKUP(MONTH(Tabla3[[#This Row],[Fecha final]]),Tabla20[#All],5,FALSE)</f>
        <v>0</v>
      </c>
      <c r="L24" s="16">
        <f>Tabla3[[#This Row],[P2 + P5]]*VLOOKUP(MONTH(Tabla3[[#This Row],[Fecha final]]),Tabla20[#All],6,FALSE)</f>
        <v>0</v>
      </c>
      <c r="M24" s="16">
        <f>Tabla3[[#This Row],[P3 + P6]]*VLOOKUP(MONTH(Tabla3[[#This Row],[Fecha final]]),Tabla20[#All],7,FALSE)</f>
        <v>4836.7615999999998</v>
      </c>
      <c r="N24" s="16">
        <f>YEAR(Tabla3[[#This Row],[Fecha final]])</f>
        <v>2021</v>
      </c>
    </row>
    <row r="25" spans="1:14">
      <c r="A25" s="17">
        <v>44530</v>
      </c>
      <c r="B25" s="16" t="s">
        <v>59</v>
      </c>
      <c r="C25" s="16">
        <v>2</v>
      </c>
      <c r="D25" s="16" t="s">
        <v>42</v>
      </c>
      <c r="E25" s="16">
        <v>485</v>
      </c>
      <c r="F25" s="16">
        <v>341</v>
      </c>
      <c r="G25" s="16">
        <v>336</v>
      </c>
      <c r="H25" s="16">
        <f>Tabla3[[#This Row],[P1 + P4]]*VLOOKUP(MONTH(Tabla3[[#This Row],[Fecha final]]),Tabla20[#All],2,FALSE)</f>
        <v>485</v>
      </c>
      <c r="I25" s="16">
        <f>Tabla3[[#This Row],[P2 + P5]]*VLOOKUP(MONTH(Tabla3[[#This Row],[Fecha final]]),Tabla20[#All],3,FALSE)</f>
        <v>341</v>
      </c>
      <c r="J25" s="16">
        <f>(Tabla3[[#This Row],[P3 + P6]])*VLOOKUP(MONTH(Tabla3[[#This Row],[Fecha final]]),Tabla20[#All],4,FALSE)</f>
        <v>0</v>
      </c>
      <c r="K25" s="16">
        <f>Tabla3[[#This Row],[P1 + P4]]*VLOOKUP(MONTH(Tabla3[[#This Row],[Fecha final]]),Tabla20[#All],5,FALSE)</f>
        <v>0</v>
      </c>
      <c r="L25" s="16">
        <f>Tabla3[[#This Row],[P2 + P5]]*VLOOKUP(MONTH(Tabla3[[#This Row],[Fecha final]]),Tabla20[#All],6,FALSE)</f>
        <v>0</v>
      </c>
      <c r="M25" s="16">
        <f>Tabla3[[#This Row],[P3 + P6]]*VLOOKUP(MONTH(Tabla3[[#This Row],[Fecha final]]),Tabla20[#All],7,FALSE)</f>
        <v>336</v>
      </c>
      <c r="N25" s="16">
        <f>YEAR(Tabla3[[#This Row],[Fecha final]])</f>
        <v>2021</v>
      </c>
    </row>
    <row r="26" spans="1:14">
      <c r="A26" s="17">
        <v>44532</v>
      </c>
      <c r="B26" s="16" t="s">
        <v>60</v>
      </c>
      <c r="C26" s="16">
        <v>29</v>
      </c>
      <c r="D26" s="16" t="s">
        <v>42</v>
      </c>
      <c r="E26" s="16">
        <v>4209</v>
      </c>
      <c r="F26" s="16">
        <v>2978</v>
      </c>
      <c r="G26" s="16">
        <v>5198</v>
      </c>
      <c r="H26" s="16">
        <f>Tabla3[[#This Row],[P1 + P4]]*VLOOKUP(MONTH(Tabla3[[#This Row],[Fecha final]]),Tabla20[#All],2,FALSE)</f>
        <v>4209</v>
      </c>
      <c r="I26" s="16">
        <f>Tabla3[[#This Row],[P2 + P5]]*VLOOKUP(MONTH(Tabla3[[#This Row],[Fecha final]]),Tabla20[#All],3,FALSE)</f>
        <v>2978</v>
      </c>
      <c r="J26" s="16">
        <f>(Tabla3[[#This Row],[P3 + P6]])*VLOOKUP(MONTH(Tabla3[[#This Row],[Fecha final]]),Tabla20[#All],4,FALSE)</f>
        <v>0</v>
      </c>
      <c r="K26" s="16">
        <f>Tabla3[[#This Row],[P1 + P4]]*VLOOKUP(MONTH(Tabla3[[#This Row],[Fecha final]]),Tabla20[#All],5,FALSE)</f>
        <v>0</v>
      </c>
      <c r="L26" s="16">
        <f>Tabla3[[#This Row],[P2 + P5]]*VLOOKUP(MONTH(Tabla3[[#This Row],[Fecha final]]),Tabla20[#All],6,FALSE)</f>
        <v>0</v>
      </c>
      <c r="M26" s="16">
        <f>Tabla3[[#This Row],[P3 + P6]]*VLOOKUP(MONTH(Tabla3[[#This Row],[Fecha final]]),Tabla20[#All],7,FALSE)</f>
        <v>5198</v>
      </c>
      <c r="N26" s="16">
        <f>YEAR(Tabla3[[#This Row],[Fecha final]])</f>
        <v>2021</v>
      </c>
    </row>
    <row r="27" spans="1:14">
      <c r="A27" s="17">
        <v>44561</v>
      </c>
      <c r="B27" s="16" t="s">
        <v>61</v>
      </c>
      <c r="C27" s="16">
        <v>31</v>
      </c>
      <c r="D27" s="16" t="s">
        <v>42</v>
      </c>
      <c r="E27" s="16">
        <v>5144</v>
      </c>
      <c r="F27" s="16">
        <v>3584</v>
      </c>
      <c r="G27" s="16">
        <v>5251</v>
      </c>
      <c r="H27" s="16">
        <f>Tabla3[[#This Row],[P1 + P4]]*VLOOKUP(MONTH(Tabla3[[#This Row],[Fecha final]]),Tabla20[#All],2,FALSE)</f>
        <v>5144</v>
      </c>
      <c r="I27" s="16">
        <f>Tabla3[[#This Row],[P2 + P5]]*VLOOKUP(MONTH(Tabla3[[#This Row],[Fecha final]]),Tabla20[#All],3,FALSE)</f>
        <v>3584</v>
      </c>
      <c r="J27" s="16">
        <f>(Tabla3[[#This Row],[P3 + P6]])*VLOOKUP(MONTH(Tabla3[[#This Row],[Fecha final]]),Tabla20[#All],4,FALSE)</f>
        <v>0</v>
      </c>
      <c r="K27" s="16">
        <f>Tabla3[[#This Row],[P1 + P4]]*VLOOKUP(MONTH(Tabla3[[#This Row],[Fecha final]]),Tabla20[#All],5,FALSE)</f>
        <v>0</v>
      </c>
      <c r="L27" s="16">
        <f>Tabla3[[#This Row],[P2 + P5]]*VLOOKUP(MONTH(Tabla3[[#This Row],[Fecha final]]),Tabla20[#All],6,FALSE)</f>
        <v>0</v>
      </c>
      <c r="M27" s="16">
        <f>Tabla3[[#This Row],[P3 + P6]]*VLOOKUP(MONTH(Tabla3[[#This Row],[Fecha final]]),Tabla20[#All],7,FALSE)</f>
        <v>5251</v>
      </c>
      <c r="N27" s="16">
        <f>YEAR(Tabla3[[#This Row],[Fecha final]])</f>
        <v>2022</v>
      </c>
    </row>
    <row r="28" spans="1:14">
      <c r="A28" s="17">
        <v>44592</v>
      </c>
      <c r="B28" s="16" t="s">
        <v>62</v>
      </c>
      <c r="C28" s="16">
        <v>28</v>
      </c>
      <c r="D28" s="16" t="s">
        <v>42</v>
      </c>
      <c r="E28" s="16">
        <v>3838</v>
      </c>
      <c r="F28" s="16">
        <v>2823</v>
      </c>
      <c r="G28" s="16">
        <v>4095</v>
      </c>
      <c r="H28" s="16">
        <f>Tabla3[[#This Row],[P1 + P4]]*VLOOKUP(MONTH(Tabla3[[#This Row],[Fecha final]]),Tabla20[#All],2,FALSE)</f>
        <v>3838</v>
      </c>
      <c r="I28" s="16">
        <f>Tabla3[[#This Row],[P2 + P5]]*VLOOKUP(MONTH(Tabla3[[#This Row],[Fecha final]]),Tabla20[#All],3,FALSE)</f>
        <v>2823</v>
      </c>
      <c r="J28" s="16">
        <f>(Tabla3[[#This Row],[P3 + P6]])*VLOOKUP(MONTH(Tabla3[[#This Row],[Fecha final]]),Tabla20[#All],4,FALSE)</f>
        <v>0</v>
      </c>
      <c r="K28" s="16">
        <f>Tabla3[[#This Row],[P1 + P4]]*VLOOKUP(MONTH(Tabla3[[#This Row],[Fecha final]]),Tabla20[#All],5,FALSE)</f>
        <v>0</v>
      </c>
      <c r="L28" s="16">
        <f>Tabla3[[#This Row],[P2 + P5]]*VLOOKUP(MONTH(Tabla3[[#This Row],[Fecha final]]),Tabla20[#All],6,FALSE)</f>
        <v>0</v>
      </c>
      <c r="M28" s="16">
        <f>Tabla3[[#This Row],[P3 + P6]]*VLOOKUP(MONTH(Tabla3[[#This Row],[Fecha final]]),Tabla20[#All],7,FALSE)</f>
        <v>4095</v>
      </c>
      <c r="N28" s="16">
        <f>YEAR(Tabla3[[#This Row],[Fecha final]])</f>
        <v>2022</v>
      </c>
    </row>
    <row r="29" spans="1:14">
      <c r="A29" s="17">
        <v>44620</v>
      </c>
      <c r="B29" s="16" t="s">
        <v>63</v>
      </c>
      <c r="C29" s="16">
        <v>31</v>
      </c>
      <c r="D29" s="16" t="s">
        <v>42</v>
      </c>
      <c r="E29" s="16">
        <v>0</v>
      </c>
      <c r="F29" s="16">
        <v>4562</v>
      </c>
      <c r="G29" s="16">
        <v>7658</v>
      </c>
      <c r="H29" s="16">
        <f>Tabla3[[#This Row],[P1 + P4]]*VLOOKUP(MONTH(Tabla3[[#This Row],[Fecha final]]),Tabla20[#All],2,FALSE)</f>
        <v>0</v>
      </c>
      <c r="I29" s="16">
        <f>Tabla3[[#This Row],[P2 + P5]]*VLOOKUP(MONTH(Tabla3[[#This Row],[Fecha final]]),Tabla20[#All],3,FALSE)</f>
        <v>4562</v>
      </c>
      <c r="J29" s="16">
        <f>(Tabla3[[#This Row],[P3 + P6]])*VLOOKUP(MONTH(Tabla3[[#This Row],[Fecha final]]),Tabla20[#All],4,FALSE)</f>
        <v>2295.8684000000003</v>
      </c>
      <c r="K29" s="16">
        <f>Tabla3[[#This Row],[P1 + P4]]*VLOOKUP(MONTH(Tabla3[[#This Row],[Fecha final]]),Tabla20[#All],5,FALSE)</f>
        <v>0</v>
      </c>
      <c r="L29" s="16">
        <f>Tabla3[[#This Row],[P2 + P5]]*VLOOKUP(MONTH(Tabla3[[#This Row],[Fecha final]]),Tabla20[#All],6,FALSE)</f>
        <v>0</v>
      </c>
      <c r="M29" s="16">
        <f>Tabla3[[#This Row],[P3 + P6]]*VLOOKUP(MONTH(Tabla3[[#This Row],[Fecha final]]),Tabla20[#All],7,FALSE)</f>
        <v>5362.1316000000006</v>
      </c>
      <c r="N29" s="16">
        <f>YEAR(Tabla3[[#This Row],[Fecha final]])</f>
        <v>2022</v>
      </c>
    </row>
    <row r="30" spans="1:14">
      <c r="A30" s="17">
        <v>44651</v>
      </c>
      <c r="B30" s="16" t="s">
        <v>65</v>
      </c>
      <c r="C30" s="16">
        <v>30</v>
      </c>
      <c r="D30" s="16" t="s">
        <v>42</v>
      </c>
      <c r="E30" s="16">
        <v>3037</v>
      </c>
      <c r="F30" s="16">
        <v>2263</v>
      </c>
      <c r="G30" s="16">
        <v>3697</v>
      </c>
      <c r="H30" s="16">
        <f>Tabla3[[#This Row],[P1 + P4]]*VLOOKUP(MONTH(Tabla3[[#This Row],[Fecha final]]),Tabla20[#All],2,FALSE)</f>
        <v>0</v>
      </c>
      <c r="I30" s="16">
        <f>Tabla3[[#This Row],[P2 + P5]]*VLOOKUP(MONTH(Tabla3[[#This Row],[Fecha final]]),Tabla20[#All],3,FALSE)</f>
        <v>0</v>
      </c>
      <c r="J30" s="16">
        <f>(Tabla3[[#This Row],[P3 + P6]])*VLOOKUP(MONTH(Tabla3[[#This Row],[Fecha final]]),Tabla20[#All],4,FALSE)</f>
        <v>0</v>
      </c>
      <c r="K30" s="16">
        <f>Tabla3[[#This Row],[P1 + P4]]*VLOOKUP(MONTH(Tabla3[[#This Row],[Fecha final]]),Tabla20[#All],5,FALSE)</f>
        <v>3037</v>
      </c>
      <c r="L30" s="16">
        <f>Tabla3[[#This Row],[P2 + P5]]*VLOOKUP(MONTH(Tabla3[[#This Row],[Fecha final]]),Tabla20[#All],6,FALSE)</f>
        <v>2263</v>
      </c>
      <c r="M30" s="16">
        <f>Tabla3[[#This Row],[P3 + P6]]*VLOOKUP(MONTH(Tabla3[[#This Row],[Fecha final]]),Tabla20[#All],7,FALSE)</f>
        <v>3697</v>
      </c>
      <c r="N30" s="16">
        <f>YEAR(Tabla3[[#This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3280</v>
      </c>
      <c r="F31" s="16">
        <v>2335</v>
      </c>
      <c r="G31" s="16">
        <v>3286</v>
      </c>
      <c r="H31" s="16">
        <f>Tabla3[[#This Row],[P1 + P4]]*VLOOKUP(MONTH(Tabla3[[#This Row],[Fecha final]]),Tabla20[#All],2,FALSE)</f>
        <v>0</v>
      </c>
      <c r="I31" s="16">
        <f>Tabla3[[#This Row],[P2 + P5]]*VLOOKUP(MONTH(Tabla3[[#This Row],[Fecha final]]),Tabla20[#All],3,FALSE)</f>
        <v>0</v>
      </c>
      <c r="J31" s="16">
        <f>(Tabla3[[#This Row],[P3 + P6]])*VLOOKUP(MONTH(Tabla3[[#This Row],[Fecha final]]),Tabla20[#All],4,FALSE)</f>
        <v>0</v>
      </c>
      <c r="K31" s="16">
        <f>Tabla3[[#This Row],[P1 + P4]]*VLOOKUP(MONTH(Tabla3[[#This Row],[Fecha final]]),Tabla20[#All],5,FALSE)</f>
        <v>3280</v>
      </c>
      <c r="L31" s="16">
        <f>Tabla3[[#This Row],[P2 + P5]]*VLOOKUP(MONTH(Tabla3[[#This Row],[Fecha final]]),Tabla20[#All],6,FALSE)</f>
        <v>2335</v>
      </c>
      <c r="M31" s="16">
        <f>Tabla3[[#This Row],[P3 + P6]]*VLOOKUP(MONTH(Tabla3[[#This Row],[Fecha final]]),Tabla20[#All],7,FALSE)</f>
        <v>3286</v>
      </c>
      <c r="N31" s="16">
        <f>YEAR(Tabla3[[#This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4961</v>
      </c>
      <c r="F32" s="16">
        <v>0</v>
      </c>
      <c r="G32" s="16">
        <v>11839</v>
      </c>
      <c r="H32" s="16">
        <f>Tabla3[[#This Row],[P1 + P4]]*VLOOKUP(MONTH(Tabla3[[#This Row],[Fecha final]]),Tabla20[#All],2,FALSE)</f>
        <v>0</v>
      </c>
      <c r="I32" s="16">
        <f>Tabla3[[#This Row],[P2 + P5]]*VLOOKUP(MONTH(Tabla3[[#This Row],[Fecha final]]),Tabla20[#All],3,FALSE)</f>
        <v>0</v>
      </c>
      <c r="J32" s="16">
        <f>(Tabla3[[#This Row],[P3 + P6]])*VLOOKUP(MONTH(Tabla3[[#This Row],[Fecha final]]),Tabla20[#All],4,FALSE)</f>
        <v>4141.2821999999996</v>
      </c>
      <c r="K32" s="16">
        <f>Tabla3[[#This Row],[P1 + P4]]*VLOOKUP(MONTH(Tabla3[[#This Row],[Fecha final]]),Tabla20[#All],5,FALSE)</f>
        <v>4961</v>
      </c>
      <c r="L32" s="16">
        <f>Tabla3[[#This Row],[P2 + P5]]*VLOOKUP(MONTH(Tabla3[[#This Row],[Fecha final]]),Tabla20[#All],6,FALSE)</f>
        <v>0</v>
      </c>
      <c r="M32" s="16">
        <f>Tabla3[[#This Row],[P3 + P6]]*VLOOKUP(MONTH(Tabla3[[#This Row],[Fecha final]]),Tabla20[#All],7,FALSE)</f>
        <v>7697.7178000000004</v>
      </c>
      <c r="N32" s="16">
        <f>YEAR(Tabla3[[#This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7920</v>
      </c>
      <c r="F33" s="16">
        <v>5650</v>
      </c>
      <c r="G33" s="16">
        <v>6049</v>
      </c>
      <c r="H33" s="16">
        <f>Tabla3[[#This Row],[P1 + P4]]*VLOOKUP(MONTH(Tabla3[[#This Row],[Fecha final]]),Tabla20[#All],2,FALSE)</f>
        <v>7920</v>
      </c>
      <c r="I33" s="16">
        <f>Tabla3[[#This Row],[P2 + P5]]*VLOOKUP(MONTH(Tabla3[[#This Row],[Fecha final]]),Tabla20[#All],3,FALSE)</f>
        <v>5650</v>
      </c>
      <c r="J33" s="16">
        <f>(Tabla3[[#This Row],[P3 + P6]])*VLOOKUP(MONTH(Tabla3[[#This Row],[Fecha final]]),Tabla20[#All],4,FALSE)</f>
        <v>0</v>
      </c>
      <c r="K33" s="16">
        <f>Tabla3[[#This Row],[P1 + P4]]*VLOOKUP(MONTH(Tabla3[[#This Row],[Fecha final]]),Tabla20[#All],5,FALSE)</f>
        <v>0</v>
      </c>
      <c r="L33" s="16">
        <f>Tabla3[[#This Row],[P2 + P5]]*VLOOKUP(MONTH(Tabla3[[#This Row],[Fecha final]]),Tabla20[#All],6,FALSE)</f>
        <v>0</v>
      </c>
      <c r="M33" s="16">
        <f>Tabla3[[#This Row],[P3 + P6]]*VLOOKUP(MONTH(Tabla3[[#This Row],[Fecha final]]),Tabla20[#All],7,FALSE)</f>
        <v>6049</v>
      </c>
      <c r="N33" s="16">
        <f>YEAR(Tabla3[[#This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5662</v>
      </c>
      <c r="F34" s="16">
        <v>0</v>
      </c>
      <c r="G34" s="16">
        <v>14295</v>
      </c>
      <c r="H34" s="16">
        <f>Tabla3[[#This Row],[P1 + P4]]*VLOOKUP(MONTH(Tabla3[[#This Row],[Fecha final]]),Tabla20[#All],2,FALSE)</f>
        <v>0</v>
      </c>
      <c r="I34" s="16">
        <f>Tabla3[[#This Row],[P2 + P5]]*VLOOKUP(MONTH(Tabla3[[#This Row],[Fecha final]]),Tabla20[#All],3,FALSE)</f>
        <v>0</v>
      </c>
      <c r="J34" s="16">
        <f>(Tabla3[[#This Row],[P3 + P6]])*VLOOKUP(MONTH(Tabla3[[#This Row],[Fecha final]]),Tabla20[#All],4,FALSE)</f>
        <v>4797.402</v>
      </c>
      <c r="K34" s="16">
        <f>Tabla3[[#This Row],[P1 + P4]]*VLOOKUP(MONTH(Tabla3[[#This Row],[Fecha final]]),Tabla20[#All],5,FALSE)</f>
        <v>5662</v>
      </c>
      <c r="L34" s="16">
        <f>Tabla3[[#This Row],[P2 + P5]]*VLOOKUP(MONTH(Tabla3[[#This Row],[Fecha final]]),Tabla20[#All],6,FALSE)</f>
        <v>0</v>
      </c>
      <c r="M34" s="16">
        <f>Tabla3[[#This Row],[P3 + P6]]*VLOOKUP(MONTH(Tabla3[[#This Row],[Fecha final]]),Tabla20[#All],7,FALSE)</f>
        <v>9497.598</v>
      </c>
      <c r="N34" s="16">
        <f>YEAR(Tabla3[[#This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4282</v>
      </c>
      <c r="F35" s="16">
        <v>0</v>
      </c>
      <c r="G35" s="16">
        <v>10072</v>
      </c>
      <c r="H35" s="16">
        <f>Tabla3[[#This Row],[P1 + P4]]*VLOOKUP(MONTH(Tabla3[[#This Row],[Fecha final]]),Tabla20[#All],2,FALSE)</f>
        <v>0</v>
      </c>
      <c r="I35" s="16">
        <f>Tabla3[[#This Row],[P2 + P5]]*VLOOKUP(MONTH(Tabla3[[#This Row],[Fecha final]]),Tabla20[#All],3,FALSE)</f>
        <v>0</v>
      </c>
      <c r="J35" s="16">
        <f>(Tabla3[[#This Row],[P3 + P6]])*VLOOKUP(MONTH(Tabla3[[#This Row],[Fecha final]]),Tabla20[#All],4,FALSE)</f>
        <v>3523.1855999999998</v>
      </c>
      <c r="K35" s="16">
        <f>Tabla3[[#This Row],[P1 + P4]]*VLOOKUP(MONTH(Tabla3[[#This Row],[Fecha final]]),Tabla20[#All],5,FALSE)</f>
        <v>4282</v>
      </c>
      <c r="L35" s="16">
        <f>Tabla3[[#This Row],[P2 + P5]]*VLOOKUP(MONTH(Tabla3[[#This Row],[Fecha final]]),Tabla20[#All],6,FALSE)</f>
        <v>0</v>
      </c>
      <c r="M35" s="16">
        <f>Tabla3[[#This Row],[P3 + P6]]*VLOOKUP(MONTH(Tabla3[[#This Row],[Fecha final]]),Tabla20[#All],7,FALSE)</f>
        <v>6548.8144000000002</v>
      </c>
      <c r="N35" s="16">
        <f>YEAR(Tabla3[[#This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3191</v>
      </c>
      <c r="F36" s="16">
        <v>2542</v>
      </c>
      <c r="G36" s="16">
        <v>3660</v>
      </c>
      <c r="H36" s="16">
        <f>Tabla3[[#This Row],[P1 + P4]]*VLOOKUP(MONTH(Tabla3[[#This Row],[Fecha final]]),Tabla20[#All],2,FALSE)</f>
        <v>0</v>
      </c>
      <c r="I36" s="16">
        <f>Tabla3[[#This Row],[P2 + P5]]*VLOOKUP(MONTH(Tabla3[[#This Row],[Fecha final]]),Tabla20[#All],3,FALSE)</f>
        <v>0</v>
      </c>
      <c r="J36" s="16">
        <f>(Tabla3[[#This Row],[P3 + P6]])*VLOOKUP(MONTH(Tabla3[[#This Row],[Fecha final]]),Tabla20[#All],4,FALSE)</f>
        <v>0</v>
      </c>
      <c r="K36" s="16">
        <f>Tabla3[[#This Row],[P1 + P4]]*VLOOKUP(MONTH(Tabla3[[#This Row],[Fecha final]]),Tabla20[#All],5,FALSE)</f>
        <v>3191</v>
      </c>
      <c r="L36" s="16">
        <f>Tabla3[[#This Row],[P2 + P5]]*VLOOKUP(MONTH(Tabla3[[#This Row],[Fecha final]]),Tabla20[#All],6,FALSE)</f>
        <v>2542</v>
      </c>
      <c r="M36" s="16">
        <f>Tabla3[[#This Row],[P3 + P6]]*VLOOKUP(MONTH(Tabla3[[#This Row],[Fecha final]]),Tabla20[#All],7,FALSE)</f>
        <v>3660</v>
      </c>
      <c r="N36" s="16">
        <f>YEAR(Tabla3[[#This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2783</v>
      </c>
      <c r="G37" s="16">
        <v>5317</v>
      </c>
      <c r="H37" s="16">
        <f>Tabla3[[#This Row],[P1 + P4]]*VLOOKUP(MONTH(Tabla3[[#This Row],[Fecha final]]),Tabla20[#All],2,FALSE)</f>
        <v>0</v>
      </c>
      <c r="I37" s="16">
        <f>Tabla3[[#This Row],[P2 + P5]]*VLOOKUP(MONTH(Tabla3[[#This Row],[Fecha final]]),Tabla20[#All],3,FALSE)</f>
        <v>2783</v>
      </c>
      <c r="J37" s="16">
        <f>(Tabla3[[#This Row],[P3 + P6]])*VLOOKUP(MONTH(Tabla3[[#This Row],[Fecha final]]),Tabla20[#All],4,FALSE)</f>
        <v>1471.7456</v>
      </c>
      <c r="K37" s="16">
        <f>Tabla3[[#This Row],[P1 + P4]]*VLOOKUP(MONTH(Tabla3[[#This Row],[Fecha final]]),Tabla20[#All],5,FALSE)</f>
        <v>0</v>
      </c>
      <c r="L37" s="16">
        <f>Tabla3[[#This Row],[P2 + P5]]*VLOOKUP(MONTH(Tabla3[[#This Row],[Fecha final]]),Tabla20[#All],6,FALSE)</f>
        <v>0</v>
      </c>
      <c r="M37" s="16">
        <f>Tabla3[[#This Row],[P3 + P6]]*VLOOKUP(MONTH(Tabla3[[#This Row],[Fecha final]]),Tabla20[#All],7,FALSE)</f>
        <v>3845.2543999999998</v>
      </c>
      <c r="N37" s="16">
        <f>YEAR(Tabla3[[#This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3745</v>
      </c>
      <c r="F38" s="16">
        <v>2469</v>
      </c>
      <c r="G38" s="16">
        <v>4977</v>
      </c>
      <c r="H38" s="16">
        <f>Tabla3[[#This Row],[P1 + P4]]*VLOOKUP(MONTH(Tabla3[[#This Row],[Fecha final]]),Tabla20[#All],2,FALSE)</f>
        <v>3745</v>
      </c>
      <c r="I38" s="16">
        <f>Tabla3[[#This Row],[P2 + P5]]*VLOOKUP(MONTH(Tabla3[[#This Row],[Fecha final]]),Tabla20[#All],3,FALSE)</f>
        <v>2469</v>
      </c>
      <c r="J38" s="16">
        <f>(Tabla3[[#This Row],[P3 + P6]])*VLOOKUP(MONTH(Tabla3[[#This Row],[Fecha final]]),Tabla20[#All],4,FALSE)</f>
        <v>0</v>
      </c>
      <c r="K38" s="16">
        <f>Tabla3[[#This Row],[P1 + P4]]*VLOOKUP(MONTH(Tabla3[[#This Row],[Fecha final]]),Tabla20[#All],5,FALSE)</f>
        <v>0</v>
      </c>
      <c r="L38" s="16">
        <f>Tabla3[[#This Row],[P2 + P5]]*VLOOKUP(MONTH(Tabla3[[#This Row],[Fecha final]]),Tabla20[#All],6,FALSE)</f>
        <v>0</v>
      </c>
      <c r="M38" s="16">
        <f>Tabla3[[#This Row],[P3 + P6]]*VLOOKUP(MONTH(Tabla3[[#This Row],[Fecha final]]),Tabla20[#All],7,FALSE)</f>
        <v>4977</v>
      </c>
      <c r="N38" s="16">
        <f>YEAR(Tabla3[[#This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4883</v>
      </c>
      <c r="F39" s="16">
        <v>3049</v>
      </c>
      <c r="G39" s="16">
        <v>4752</v>
      </c>
      <c r="H39" s="16">
        <f>Tabla3[[#This Row],[P1 + P4]]*VLOOKUP(MONTH(Tabla3[[#This Row],[Fecha final]]),Tabla20[#All],2,FALSE)</f>
        <v>4883</v>
      </c>
      <c r="I39" s="16">
        <f>Tabla3[[#This Row],[P2 + P5]]*VLOOKUP(MONTH(Tabla3[[#This Row],[Fecha final]]),Tabla20[#All],3,FALSE)</f>
        <v>3049</v>
      </c>
      <c r="J39" s="16">
        <f>(Tabla3[[#This Row],[P3 + P6]])*VLOOKUP(MONTH(Tabla3[[#This Row],[Fecha final]]),Tabla20[#All],4,FALSE)</f>
        <v>0</v>
      </c>
      <c r="K39" s="16">
        <f>Tabla3[[#This Row],[P1 + P4]]*VLOOKUP(MONTH(Tabla3[[#This Row],[Fecha final]]),Tabla20[#All],5,FALSE)</f>
        <v>0</v>
      </c>
      <c r="L39" s="16">
        <f>Tabla3[[#This Row],[P2 + P5]]*VLOOKUP(MONTH(Tabla3[[#This Row],[Fecha final]]),Tabla20[#All],6,FALSE)</f>
        <v>0</v>
      </c>
      <c r="M39" s="16">
        <f>Tabla3[[#This Row],[P3 + P6]]*VLOOKUP(MONTH(Tabla3[[#This Row],[Fecha final]]),Tabla20[#All],7,FALSE)</f>
        <v>4752</v>
      </c>
      <c r="N39" s="16">
        <f>YEAR(Tabla3[[#This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4392</v>
      </c>
      <c r="F40" s="16">
        <v>2958</v>
      </c>
      <c r="G40" s="16">
        <v>4135</v>
      </c>
      <c r="H40" s="16">
        <f>Tabla3[[#This Row],[P1 + P4]]*VLOOKUP(MONTH(Tabla3[[#This Row],[Fecha final]]),Tabla20[#All],2,FALSE)</f>
        <v>4392</v>
      </c>
      <c r="I40" s="16">
        <f>Tabla3[[#This Row],[P2 + P5]]*VLOOKUP(MONTH(Tabla3[[#This Row],[Fecha final]]),Tabla20[#All],3,FALSE)</f>
        <v>2958</v>
      </c>
      <c r="J40" s="16">
        <f>(Tabla3[[#This Row],[P3 + P6]])*VLOOKUP(MONTH(Tabla3[[#This Row],[Fecha final]]),Tabla20[#All],4,FALSE)</f>
        <v>0</v>
      </c>
      <c r="K40" s="16">
        <f>Tabla3[[#This Row],[P1 + P4]]*VLOOKUP(MONTH(Tabla3[[#This Row],[Fecha final]]),Tabla20[#All],5,FALSE)</f>
        <v>0</v>
      </c>
      <c r="L40" s="16">
        <f>Tabla3[[#This Row],[P2 + P5]]*VLOOKUP(MONTH(Tabla3[[#This Row],[Fecha final]]),Tabla20[#All],6,FALSE)</f>
        <v>0</v>
      </c>
      <c r="M40" s="16">
        <f>Tabla3[[#This Row],[P3 + P6]]*VLOOKUP(MONTH(Tabla3[[#This Row],[Fecha final]]),Tabla20[#All],7,FALSE)</f>
        <v>4135</v>
      </c>
      <c r="N40" s="16">
        <f>YEAR(Tabla3[[#This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3163</v>
      </c>
      <c r="G41" s="16">
        <v>5547</v>
      </c>
      <c r="H41" s="16">
        <f>Tabla3[[#This Row],[P1 + P4]]*VLOOKUP(MONTH(Tabla3[[#This Row],[Fecha final]]),Tabla20[#All],2,FALSE)</f>
        <v>0</v>
      </c>
      <c r="I41" s="16">
        <f>Tabla3[[#This Row],[P2 + P5]]*VLOOKUP(MONTH(Tabla3[[#This Row],[Fecha final]]),Tabla20[#All],3,FALSE)</f>
        <v>3163</v>
      </c>
      <c r="J41" s="16">
        <f>(Tabla3[[#This Row],[P3 + P6]])*VLOOKUP(MONTH(Tabla3[[#This Row],[Fecha final]]),Tabla20[#All],4,FALSE)</f>
        <v>1662.9906000000001</v>
      </c>
      <c r="K41" s="16">
        <f>Tabla3[[#This Row],[P1 + P4]]*VLOOKUP(MONTH(Tabla3[[#This Row],[Fecha final]]),Tabla20[#All],5,FALSE)</f>
        <v>0</v>
      </c>
      <c r="L41" s="16">
        <f>Tabla3[[#This Row],[P2 + P5]]*VLOOKUP(MONTH(Tabla3[[#This Row],[Fecha final]]),Tabla20[#All],6,FALSE)</f>
        <v>0</v>
      </c>
      <c r="M41" s="16">
        <f>Tabla3[[#This Row],[P3 + P6]]*VLOOKUP(MONTH(Tabla3[[#This Row],[Fecha final]]),Tabla20[#All],7,FALSE)</f>
        <v>3884.0094000000004</v>
      </c>
      <c r="N41" s="16">
        <f>YEAR(Tabla3[[#This Row],[Fecha final]])</f>
        <v>2023</v>
      </c>
    </row>
    <row r="42" spans="1:14">
      <c r="A42" s="23"/>
      <c r="B42" s="23"/>
      <c r="C42" s="23"/>
      <c r="D42" s="23"/>
      <c r="E42" s="23">
        <f>SUBTOTAL(109,Tabla3[P1 + P4])</f>
        <v>113077</v>
      </c>
      <c r="F42" s="23">
        <f>SUBTOTAL(109,Tabla3[P2 + P5])</f>
        <v>135571</v>
      </c>
      <c r="G42" s="23">
        <f>SUBTOTAL(109,Tabla3[P3 + P6])</f>
        <v>189274</v>
      </c>
      <c r="H42" s="23">
        <f>SUBTOTAL(109,Tabla3[P1])</f>
        <v>54252</v>
      </c>
      <c r="I42" s="23">
        <f>SUBTOTAL(109,Tabla3[P2])</f>
        <v>93623</v>
      </c>
      <c r="J42" s="23">
        <f>SUBTOTAL(109,Tabla3[P3])</f>
        <v>36403.867199999993</v>
      </c>
      <c r="K42" s="23">
        <f>SUBTOTAL(109,Tabla3[P4])</f>
        <v>55435</v>
      </c>
      <c r="L42" s="23">
        <f>SUBTOTAL(109,Tabla3[P5])</f>
        <v>22667</v>
      </c>
      <c r="M42" s="23">
        <f>SUBTOTAL(109,Tabla3[P6])</f>
        <v>152870.13280000002</v>
      </c>
      <c r="N42" s="23"/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169</v>
      </c>
      <c r="F70" s="16">
        <v>423</v>
      </c>
      <c r="G70" s="16">
        <v>262</v>
      </c>
    </row>
    <row r="71" spans="1:7">
      <c r="A71" s="16" t="s">
        <v>49</v>
      </c>
      <c r="B71" s="16" t="s">
        <v>50</v>
      </c>
      <c r="C71" s="16">
        <v>2</v>
      </c>
      <c r="D71" s="16" t="s">
        <v>42</v>
      </c>
      <c r="E71" s="16">
        <v>5</v>
      </c>
      <c r="F71" s="16">
        <v>18</v>
      </c>
      <c r="G71" s="16">
        <v>17</v>
      </c>
    </row>
    <row r="72" spans="1:7">
      <c r="A72" s="16" t="s">
        <v>48</v>
      </c>
      <c r="B72" s="16" t="s">
        <v>49</v>
      </c>
      <c r="C72" s="16">
        <v>28</v>
      </c>
      <c r="D72" s="16" t="s">
        <v>42</v>
      </c>
      <c r="E72" s="16">
        <v>94</v>
      </c>
      <c r="F72" s="16">
        <v>218</v>
      </c>
      <c r="G72" s="16">
        <v>145</v>
      </c>
    </row>
    <row r="73" spans="1:7">
      <c r="A73" s="16" t="s">
        <v>47</v>
      </c>
      <c r="B73" s="16" t="s">
        <v>48</v>
      </c>
      <c r="C73" s="16">
        <v>31</v>
      </c>
      <c r="D73" s="16" t="s">
        <v>42</v>
      </c>
      <c r="E73" s="16">
        <v>70</v>
      </c>
      <c r="F73" s="16">
        <v>237</v>
      </c>
      <c r="G73" s="16">
        <v>160</v>
      </c>
    </row>
    <row r="74" spans="1:7">
      <c r="A74" s="16" t="s">
        <v>46</v>
      </c>
      <c r="B74" s="16" t="s">
        <v>47</v>
      </c>
      <c r="C74" s="16">
        <v>28</v>
      </c>
      <c r="D74" s="16" t="s">
        <v>42</v>
      </c>
      <c r="E74" s="16">
        <v>55</v>
      </c>
      <c r="F74" s="16">
        <v>211</v>
      </c>
      <c r="G74" s="16">
        <v>90</v>
      </c>
    </row>
    <row r="75" spans="1:7">
      <c r="A75" s="16" t="s">
        <v>45</v>
      </c>
      <c r="B75" s="16" t="s">
        <v>46</v>
      </c>
      <c r="C75" s="16">
        <v>31</v>
      </c>
      <c r="D75" s="16" t="s">
        <v>42</v>
      </c>
      <c r="E75" s="16">
        <v>71</v>
      </c>
      <c r="F75" s="16">
        <v>239</v>
      </c>
      <c r="G75" s="16">
        <v>148</v>
      </c>
    </row>
    <row r="76" spans="1:7">
      <c r="A76" s="16" t="s">
        <v>44</v>
      </c>
      <c r="B76" s="16" t="s">
        <v>45</v>
      </c>
      <c r="C76" s="16">
        <v>31</v>
      </c>
      <c r="D76" s="16" t="s">
        <v>42</v>
      </c>
      <c r="E76" s="16">
        <v>73</v>
      </c>
      <c r="F76" s="16">
        <v>254</v>
      </c>
      <c r="G76" s="16">
        <v>166</v>
      </c>
    </row>
    <row r="77" spans="1:7">
      <c r="A77" s="16" t="s">
        <v>43</v>
      </c>
      <c r="B77" s="16" t="s">
        <v>44</v>
      </c>
      <c r="C77" s="16">
        <v>30</v>
      </c>
      <c r="D77" s="16" t="s">
        <v>42</v>
      </c>
      <c r="E77" s="16">
        <v>56</v>
      </c>
      <c r="F77" s="16">
        <v>221</v>
      </c>
      <c r="G77" s="16">
        <v>140</v>
      </c>
    </row>
    <row r="78" spans="1:7">
      <c r="A78" s="16" t="s">
        <v>41</v>
      </c>
      <c r="B78" s="16" t="s">
        <v>43</v>
      </c>
      <c r="C78" s="16">
        <v>31</v>
      </c>
      <c r="D78" s="16" t="s">
        <v>42</v>
      </c>
      <c r="E78" s="16">
        <v>80</v>
      </c>
      <c r="F78" s="16">
        <v>209</v>
      </c>
      <c r="G78" s="16">
        <v>136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66</v>
      </c>
      <c r="F79" s="16">
        <v>173</v>
      </c>
      <c r="G79" s="16">
        <v>135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58</v>
      </c>
      <c r="F80" s="16">
        <v>149</v>
      </c>
      <c r="G80" s="16">
        <v>129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57</v>
      </c>
      <c r="F81" s="16">
        <v>146</v>
      </c>
      <c r="G81" s="16">
        <v>100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80</v>
      </c>
      <c r="C87" s="16">
        <v>80</v>
      </c>
      <c r="D87" s="16">
        <v>80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52</v>
      </c>
      <c r="G89" s="16">
        <v>68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52</v>
      </c>
      <c r="F90" s="16">
        <v>56</v>
      </c>
      <c r="G90" s="16">
        <v>80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88</v>
      </c>
      <c r="F91" s="16">
        <v>120</v>
      </c>
      <c r="G91" s="16">
        <v>112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52</v>
      </c>
      <c r="F92" s="16">
        <v>52</v>
      </c>
      <c r="G92" s="16">
        <v>68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52</v>
      </c>
      <c r="G93" s="16">
        <v>52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40</v>
      </c>
      <c r="F94" s="16">
        <v>40</v>
      </c>
      <c r="G94" s="16">
        <v>60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48</v>
      </c>
      <c r="F95" s="16">
        <v>0</v>
      </c>
      <c r="G95" s="16">
        <v>64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80</v>
      </c>
      <c r="F96" s="16">
        <v>0</v>
      </c>
      <c r="G96" s="16">
        <v>80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92</v>
      </c>
      <c r="F97" s="16">
        <v>96</v>
      </c>
      <c r="G97" s="16">
        <v>68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76</v>
      </c>
      <c r="F98" s="16">
        <v>0</v>
      </c>
      <c r="G98" s="16">
        <v>80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84</v>
      </c>
      <c r="F99" s="16">
        <v>64</v>
      </c>
      <c r="G99" s="16">
        <v>80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52</v>
      </c>
      <c r="F100" s="16">
        <v>52</v>
      </c>
      <c r="G100" s="16">
        <v>52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52</v>
      </c>
      <c r="G101" s="16">
        <v>72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52</v>
      </c>
      <c r="F102" s="16">
        <v>52</v>
      </c>
      <c r="G102" s="16">
        <v>64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52</v>
      </c>
      <c r="F103" s="16">
        <v>84</v>
      </c>
      <c r="G103" s="16">
        <v>112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72</v>
      </c>
      <c r="F104" s="16">
        <v>68</v>
      </c>
      <c r="G104" s="16">
        <v>128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64</v>
      </c>
      <c r="F105" s="16">
        <v>72</v>
      </c>
      <c r="G105" s="16">
        <v>140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96</v>
      </c>
      <c r="G106" s="16">
        <v>132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84</v>
      </c>
      <c r="F107" s="16">
        <v>104</v>
      </c>
      <c r="G107" s="16">
        <v>92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92</v>
      </c>
      <c r="F108" s="16">
        <v>0</v>
      </c>
      <c r="G108" s="16">
        <v>124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92</v>
      </c>
      <c r="F109" s="16">
        <v>0</v>
      </c>
      <c r="G109" s="16">
        <v>120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120</v>
      </c>
      <c r="F110" s="16">
        <v>124</v>
      </c>
      <c r="G110" s="16">
        <v>112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128</v>
      </c>
      <c r="F111" s="16">
        <v>0</v>
      </c>
      <c r="G111" s="16">
        <v>128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48</v>
      </c>
      <c r="F112" s="16">
        <v>56</v>
      </c>
      <c r="G112" s="16">
        <v>64</v>
      </c>
    </row>
    <row r="113" spans="1:7">
      <c r="A113" s="16" t="s">
        <v>49</v>
      </c>
      <c r="B113" s="16" t="s">
        <v>50</v>
      </c>
      <c r="C113" s="16">
        <v>2</v>
      </c>
      <c r="D113" s="16" t="s">
        <v>42</v>
      </c>
      <c r="E113" s="16">
        <v>19</v>
      </c>
      <c r="F113" s="16">
        <v>19</v>
      </c>
      <c r="G113" s="16">
        <v>18</v>
      </c>
    </row>
    <row r="114" spans="1:7">
      <c r="A114" s="16" t="s">
        <v>48</v>
      </c>
      <c r="B114" s="16" t="s">
        <v>49</v>
      </c>
      <c r="C114" s="16">
        <v>28</v>
      </c>
      <c r="D114" s="16" t="s">
        <v>42</v>
      </c>
      <c r="E114" s="16">
        <v>50</v>
      </c>
      <c r="F114" s="16">
        <v>45</v>
      </c>
      <c r="G114" s="16">
        <v>37</v>
      </c>
    </row>
    <row r="115" spans="1:7">
      <c r="A115" s="16" t="s">
        <v>47</v>
      </c>
      <c r="B115" s="16" t="s">
        <v>48</v>
      </c>
      <c r="C115" s="16">
        <v>31</v>
      </c>
      <c r="D115" s="16" t="s">
        <v>42</v>
      </c>
      <c r="E115" s="16">
        <v>30</v>
      </c>
      <c r="F115" s="16">
        <v>37</v>
      </c>
      <c r="G115" s="16">
        <v>37</v>
      </c>
    </row>
    <row r="116" spans="1:7">
      <c r="A116" s="16" t="s">
        <v>46</v>
      </c>
      <c r="B116" s="16" t="s">
        <v>47</v>
      </c>
      <c r="C116" s="16">
        <v>28</v>
      </c>
      <c r="D116" s="16" t="s">
        <v>42</v>
      </c>
      <c r="E116" s="16">
        <v>35</v>
      </c>
      <c r="F116" s="16">
        <v>45</v>
      </c>
      <c r="G116" s="16">
        <v>45</v>
      </c>
    </row>
    <row r="117" spans="1:7">
      <c r="A117" s="16" t="s">
        <v>45</v>
      </c>
      <c r="B117" s="16" t="s">
        <v>46</v>
      </c>
      <c r="C117" s="16">
        <v>31</v>
      </c>
      <c r="D117" s="16" t="s">
        <v>42</v>
      </c>
      <c r="E117" s="16">
        <v>80</v>
      </c>
      <c r="F117" s="16">
        <v>129</v>
      </c>
      <c r="G117" s="16">
        <v>83</v>
      </c>
    </row>
    <row r="118" spans="1:7">
      <c r="A118" s="16" t="s">
        <v>44</v>
      </c>
      <c r="B118" s="16" t="s">
        <v>45</v>
      </c>
      <c r="C118" s="16">
        <v>31</v>
      </c>
      <c r="D118" s="16" t="s">
        <v>42</v>
      </c>
      <c r="E118" s="16">
        <v>51</v>
      </c>
      <c r="F118" s="16">
        <v>110</v>
      </c>
      <c r="G118" s="16">
        <v>77</v>
      </c>
    </row>
    <row r="119" spans="1:7">
      <c r="A119" s="16" t="s">
        <v>43</v>
      </c>
      <c r="B119" s="16" t="s">
        <v>44</v>
      </c>
      <c r="C119" s="16">
        <v>30</v>
      </c>
      <c r="D119" s="16" t="s">
        <v>42</v>
      </c>
      <c r="E119" s="16">
        <v>50</v>
      </c>
      <c r="F119" s="16">
        <v>71</v>
      </c>
      <c r="G119" s="16">
        <v>68</v>
      </c>
    </row>
    <row r="120" spans="1:7">
      <c r="A120" s="16" t="s">
        <v>41</v>
      </c>
      <c r="B120" s="16" t="s">
        <v>43</v>
      </c>
      <c r="C120" s="16">
        <v>31</v>
      </c>
      <c r="D120" s="16" t="s">
        <v>42</v>
      </c>
      <c r="E120" s="16">
        <v>75</v>
      </c>
      <c r="F120" s="16">
        <v>44</v>
      </c>
      <c r="G120" s="16">
        <v>46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68</v>
      </c>
      <c r="F121" s="16">
        <v>74</v>
      </c>
      <c r="G121" s="16">
        <v>39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74</v>
      </c>
      <c r="F122" s="16">
        <v>75</v>
      </c>
      <c r="G122" s="16">
        <v>54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76</v>
      </c>
      <c r="F123" s="16">
        <v>81</v>
      </c>
      <c r="G123" s="16">
        <v>64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479C-F508-46B8-8ADE-B595DC5FA75D}">
  <dimension ref="A1:N129"/>
  <sheetViews>
    <sheetView workbookViewId="0">
      <selection activeCell="K14" sqref="K14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5" width="8.6640625" style="16"/>
    <col min="16" max="16" width="11.33203125" style="16" bestFit="1" customWidth="1"/>
    <col min="17" max="16384" width="8.6640625" style="16"/>
  </cols>
  <sheetData>
    <row r="1" spans="1:14">
      <c r="A1" s="16" t="s">
        <v>30</v>
      </c>
    </row>
    <row r="3" spans="1:14">
      <c r="A3" s="16" t="s">
        <v>90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28258</v>
      </c>
      <c r="C4" s="16">
        <v>21686</v>
      </c>
      <c r="D4" s="16">
        <v>22411</v>
      </c>
    </row>
    <row r="5" spans="1:14">
      <c r="A5" s="16" t="s">
        <v>36</v>
      </c>
      <c r="B5" s="16">
        <v>39</v>
      </c>
      <c r="C5" s="16">
        <v>30</v>
      </c>
      <c r="D5" s="16">
        <v>31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43982</v>
      </c>
      <c r="B7" s="16" t="s">
        <v>89</v>
      </c>
      <c r="C7" s="16">
        <v>30</v>
      </c>
      <c r="D7" s="16" t="s">
        <v>42</v>
      </c>
      <c r="E7" s="16">
        <v>1975</v>
      </c>
      <c r="F7" s="16">
        <v>3628</v>
      </c>
      <c r="G7" s="16">
        <v>597</v>
      </c>
      <c r="H7" s="16">
        <f>Tabla4[[#This Row],[P1 + P4]]*VLOOKUP(MONTH(Tabla4[[#This Row],[Fecha final]]),Tabla20[#All],2,FALSE)</f>
        <v>0</v>
      </c>
      <c r="I7" s="16">
        <f>Tabla4[[#This Row],[P2 + P5]]*VLOOKUP(MONTH(Tabla4[[#This Row],[Fecha final]]),Tabla20[#All],3,FALSE)</f>
        <v>0</v>
      </c>
      <c r="J7" s="16">
        <f>(Tabla4[[#This Row],[P3 + P6]])*VLOOKUP(MONTH(Tabla4[[#This Row],[Fecha final]]),Tabla20[#All],4,FALSE)</f>
        <v>208.8306</v>
      </c>
      <c r="K7" s="16">
        <f>Tabla4[[#This Row],[P1 + P4]]*VLOOKUP(MONTH(Tabla4[[#This Row],[Fecha final]]),Tabla20[#All],5,FALSE)</f>
        <v>1975</v>
      </c>
      <c r="L7" s="16">
        <f>Tabla4[[#This Row],[P2 + P5]]*VLOOKUP(MONTH(Tabla4[[#This Row],[Fecha final]]),Tabla20[#All],6,FALSE)</f>
        <v>0</v>
      </c>
      <c r="M7" s="16">
        <f>Tabla4[[#This Row],[P3 + P6]]*VLOOKUP(MONTH(Tabla4[[#This Row],[Fecha final]]),Tabla20[#All],7,FALSE)</f>
        <v>388.1694</v>
      </c>
      <c r="N7" s="16">
        <f>YEAR(Tabla3[[#This Row],[Fecha final]])</f>
        <v>2020</v>
      </c>
    </row>
    <row r="8" spans="1:14">
      <c r="A8" s="17">
        <v>44012</v>
      </c>
      <c r="B8" s="16" t="s">
        <v>88</v>
      </c>
      <c r="C8" s="16">
        <v>31</v>
      </c>
      <c r="D8" s="16" t="s">
        <v>42</v>
      </c>
      <c r="E8" s="16">
        <v>3223</v>
      </c>
      <c r="F8" s="16">
        <v>5708</v>
      </c>
      <c r="G8" s="16">
        <v>794</v>
      </c>
      <c r="H8" s="16">
        <f>Tabla4[[#This Row],[P1 + P4]]*VLOOKUP(MONTH(Tabla4[[#This Row],[Fecha final]]),Tabla20[#All],2,FALSE)</f>
        <v>3223</v>
      </c>
      <c r="I8" s="16">
        <f>Tabla4[[#This Row],[P2 + P5]]*VLOOKUP(MONTH(Tabla4[[#This Row],[Fecha final]]),Tabla20[#All],3,FALSE)</f>
        <v>5708</v>
      </c>
      <c r="J8" s="16">
        <f>(Tabla4[[#This Row],[P3 + P6]])*VLOOKUP(MONTH(Tabla4[[#This Row],[Fecha final]]),Tabla20[#All],4,FALSE)</f>
        <v>0</v>
      </c>
      <c r="K8" s="16">
        <f>Tabla4[[#This Row],[P1 + P4]]*VLOOKUP(MONTH(Tabla4[[#This Row],[Fecha final]]),Tabla20[#All],5,FALSE)</f>
        <v>0</v>
      </c>
      <c r="L8" s="16">
        <f>Tabla4[[#This Row],[P2 + P5]]*VLOOKUP(MONTH(Tabla4[[#This Row],[Fecha final]]),Tabla20[#All],6,FALSE)</f>
        <v>0</v>
      </c>
      <c r="M8" s="16">
        <f>Tabla4[[#This Row],[P3 + P6]]*VLOOKUP(MONTH(Tabla4[[#This Row],[Fecha final]]),Tabla20[#All],7,FALSE)</f>
        <v>794</v>
      </c>
      <c r="N8" s="16">
        <f>YEAR(Tabla3[[#This Row],[Fecha final]])</f>
        <v>2020</v>
      </c>
    </row>
    <row r="9" spans="1:14">
      <c r="A9" s="17">
        <v>44043</v>
      </c>
      <c r="B9" s="16" t="s">
        <v>78</v>
      </c>
      <c r="C9" s="16">
        <v>31</v>
      </c>
      <c r="D9" s="16" t="s">
        <v>42</v>
      </c>
      <c r="E9" s="16">
        <v>2578</v>
      </c>
      <c r="F9" s="16">
        <v>3327</v>
      </c>
      <c r="G9" s="16">
        <v>762</v>
      </c>
      <c r="H9" s="16">
        <f>Tabla4[[#This Row],[P1 + P4]]*VLOOKUP(MONTH(Tabla4[[#This Row],[Fecha final]]),Tabla20[#All],2,FALSE)</f>
        <v>0</v>
      </c>
      <c r="I9" s="16">
        <f>Tabla4[[#This Row],[P2 + P5]]*VLOOKUP(MONTH(Tabla4[[#This Row],[Fecha final]]),Tabla20[#All],3,FALSE)</f>
        <v>0</v>
      </c>
      <c r="J9" s="16">
        <f>(Tabla4[[#This Row],[P3 + P6]])*VLOOKUP(MONTH(Tabla4[[#This Row],[Fecha final]]),Tabla20[#All],4,FALSE)</f>
        <v>255.72720000000001</v>
      </c>
      <c r="K9" s="16">
        <f>Tabla4[[#This Row],[P1 + P4]]*VLOOKUP(MONTH(Tabla4[[#This Row],[Fecha final]]),Tabla20[#All],5,FALSE)</f>
        <v>2578</v>
      </c>
      <c r="L9" s="16">
        <f>Tabla4[[#This Row],[P2 + P5]]*VLOOKUP(MONTH(Tabla4[[#This Row],[Fecha final]]),Tabla20[#All],6,FALSE)</f>
        <v>0</v>
      </c>
      <c r="M9" s="16">
        <f>Tabla4[[#This Row],[P3 + P6]]*VLOOKUP(MONTH(Tabla4[[#This Row],[Fecha final]]),Tabla20[#All],7,FALSE)</f>
        <v>506.27280000000002</v>
      </c>
      <c r="N9" s="16">
        <f>YEAR(Tabla3[[#This Row],[Fecha final]])</f>
        <v>2020</v>
      </c>
    </row>
    <row r="10" spans="1:14">
      <c r="A10" s="17">
        <v>44074</v>
      </c>
      <c r="B10" s="16" t="s">
        <v>41</v>
      </c>
      <c r="C10" s="16">
        <v>30</v>
      </c>
      <c r="D10" s="16" t="s">
        <v>42</v>
      </c>
      <c r="E10" s="16">
        <v>2121</v>
      </c>
      <c r="F10" s="16">
        <v>4015</v>
      </c>
      <c r="G10" s="16">
        <v>619</v>
      </c>
      <c r="H10" s="16">
        <f>Tabla4[[#This Row],[P1 + P4]]*VLOOKUP(MONTH(Tabla4[[#This Row],[Fecha final]]),Tabla20[#All],2,FALSE)</f>
        <v>0</v>
      </c>
      <c r="I10" s="16">
        <f>Tabla4[[#This Row],[P2 + P5]]*VLOOKUP(MONTH(Tabla4[[#This Row],[Fecha final]]),Tabla20[#All],3,FALSE)</f>
        <v>0</v>
      </c>
      <c r="J10" s="16">
        <f>(Tabla4[[#This Row],[P3 + P6]])*VLOOKUP(MONTH(Tabla4[[#This Row],[Fecha final]]),Tabla20[#All],4,FALSE)</f>
        <v>216.52619999999999</v>
      </c>
      <c r="K10" s="16">
        <f>Tabla4[[#This Row],[P1 + P4]]*VLOOKUP(MONTH(Tabla4[[#This Row],[Fecha final]]),Tabla20[#All],5,FALSE)</f>
        <v>2121</v>
      </c>
      <c r="L10" s="16">
        <f>Tabla4[[#This Row],[P2 + P5]]*VLOOKUP(MONTH(Tabla4[[#This Row],[Fecha final]]),Tabla20[#All],6,FALSE)</f>
        <v>0</v>
      </c>
      <c r="M10" s="16">
        <f>Tabla4[[#This Row],[P3 + P6]]*VLOOKUP(MONTH(Tabla4[[#This Row],[Fecha final]]),Tabla20[#All],7,FALSE)</f>
        <v>402.47379999999998</v>
      </c>
      <c r="N10" s="16">
        <f>YEAR(Tabla3[[#This Row],[Fecha final]])</f>
        <v>2020</v>
      </c>
    </row>
    <row r="11" spans="1:14">
      <c r="A11" s="17">
        <v>44104</v>
      </c>
      <c r="B11" s="16" t="s">
        <v>43</v>
      </c>
      <c r="C11" s="16">
        <v>31</v>
      </c>
      <c r="D11" s="16" t="s">
        <v>42</v>
      </c>
      <c r="E11" s="16">
        <v>1162</v>
      </c>
      <c r="F11" s="16">
        <v>2680</v>
      </c>
      <c r="G11" s="16">
        <v>445</v>
      </c>
      <c r="H11" s="16">
        <f>Tabla4[[#This Row],[P1 + P4]]*VLOOKUP(MONTH(Tabla4[[#This Row],[Fecha final]]),Tabla20[#All],2,FALSE)</f>
        <v>0</v>
      </c>
      <c r="I11" s="16">
        <f>Tabla4[[#This Row],[P2 + P5]]*VLOOKUP(MONTH(Tabla4[[#This Row],[Fecha final]]),Tabla20[#All],3,FALSE)</f>
        <v>0</v>
      </c>
      <c r="J11" s="16">
        <f>(Tabla4[[#This Row],[P3 + P6]])*VLOOKUP(MONTH(Tabla4[[#This Row],[Fecha final]]),Tabla20[#All],4,FALSE)</f>
        <v>0</v>
      </c>
      <c r="K11" s="16">
        <f>Tabla4[[#This Row],[P1 + P4]]*VLOOKUP(MONTH(Tabla4[[#This Row],[Fecha final]]),Tabla20[#All],5,FALSE)</f>
        <v>1162</v>
      </c>
      <c r="L11" s="16">
        <f>Tabla4[[#This Row],[P2 + P5]]*VLOOKUP(MONTH(Tabla4[[#This Row],[Fecha final]]),Tabla20[#All],6,FALSE)</f>
        <v>2680</v>
      </c>
      <c r="M11" s="16">
        <f>Tabla4[[#This Row],[P3 + P6]]*VLOOKUP(MONTH(Tabla4[[#This Row],[Fecha final]]),Tabla20[#All],7,FALSE)</f>
        <v>445</v>
      </c>
      <c r="N11" s="16">
        <f>YEAR(Tabla3[[#This Row],[Fecha final]])</f>
        <v>2020</v>
      </c>
    </row>
    <row r="12" spans="1:14">
      <c r="A12" s="17">
        <v>44135</v>
      </c>
      <c r="B12" s="16" t="s">
        <v>44</v>
      </c>
      <c r="C12" s="16">
        <v>30</v>
      </c>
      <c r="D12" s="16" t="s">
        <v>42</v>
      </c>
      <c r="E12" s="16">
        <v>675</v>
      </c>
      <c r="F12" s="16">
        <v>2775</v>
      </c>
      <c r="G12" s="16">
        <v>502</v>
      </c>
      <c r="H12" s="16">
        <f>Tabla4[[#This Row],[P1 + P4]]*VLOOKUP(MONTH(Tabla4[[#This Row],[Fecha final]]),Tabla20[#All],2,FALSE)</f>
        <v>0</v>
      </c>
      <c r="I12" s="16">
        <f>Tabla4[[#This Row],[P2 + P5]]*VLOOKUP(MONTH(Tabla4[[#This Row],[Fecha final]]),Tabla20[#All],3,FALSE)</f>
        <v>2775</v>
      </c>
      <c r="J12" s="16">
        <f>(Tabla4[[#This Row],[P3 + P6]])*VLOOKUP(MONTH(Tabla4[[#This Row],[Fecha final]]),Tabla20[#All],4,FALSE)</f>
        <v>138.95359999999999</v>
      </c>
      <c r="K12" s="16">
        <f>Tabla4[[#This Row],[P1 + P4]]*VLOOKUP(MONTH(Tabla4[[#This Row],[Fecha final]]),Tabla20[#All],5,FALSE)</f>
        <v>0</v>
      </c>
      <c r="L12" s="16">
        <f>Tabla4[[#This Row],[P2 + P5]]*VLOOKUP(MONTH(Tabla4[[#This Row],[Fecha final]]),Tabla20[#All],6,FALSE)</f>
        <v>0</v>
      </c>
      <c r="M12" s="16">
        <f>Tabla4[[#This Row],[P3 + P6]]*VLOOKUP(MONTH(Tabla4[[#This Row],[Fecha final]]),Tabla20[#All],7,FALSE)</f>
        <v>363.04639999999995</v>
      </c>
      <c r="N12" s="16">
        <f>YEAR(Tabla3[[#This Row],[Fecha final]])</f>
        <v>2020</v>
      </c>
    </row>
    <row r="13" spans="1:14">
      <c r="A13" s="17">
        <v>44165</v>
      </c>
      <c r="B13" s="16" t="s">
        <v>45</v>
      </c>
      <c r="C13" s="16">
        <v>31</v>
      </c>
      <c r="D13" s="16" t="s">
        <v>42</v>
      </c>
      <c r="E13" s="16">
        <v>936</v>
      </c>
      <c r="F13" s="16">
        <v>5119</v>
      </c>
      <c r="G13" s="16">
        <v>667</v>
      </c>
      <c r="H13" s="16">
        <f>Tabla4[[#This Row],[P1 + P4]]*VLOOKUP(MONTH(Tabla4[[#This Row],[Fecha final]]),Tabla20[#All],2,FALSE)</f>
        <v>936</v>
      </c>
      <c r="I13" s="16">
        <f>Tabla4[[#This Row],[P2 + P5]]*VLOOKUP(MONTH(Tabla4[[#This Row],[Fecha final]]),Tabla20[#All],3,FALSE)</f>
        <v>5119</v>
      </c>
      <c r="J13" s="16">
        <f>(Tabla4[[#This Row],[P3 + P6]])*VLOOKUP(MONTH(Tabla4[[#This Row],[Fecha final]]),Tabla20[#All],4,FALSE)</f>
        <v>0</v>
      </c>
      <c r="K13" s="16">
        <f>Tabla4[[#This Row],[P1 + P4]]*VLOOKUP(MONTH(Tabla4[[#This Row],[Fecha final]]),Tabla20[#All],5,FALSE)</f>
        <v>0</v>
      </c>
      <c r="L13" s="16">
        <f>Tabla4[[#This Row],[P2 + P5]]*VLOOKUP(MONTH(Tabla4[[#This Row],[Fecha final]]),Tabla20[#All],6,FALSE)</f>
        <v>0</v>
      </c>
      <c r="M13" s="16">
        <f>Tabla4[[#This Row],[P3 + P6]]*VLOOKUP(MONTH(Tabla4[[#This Row],[Fecha final]]),Tabla20[#All],7,FALSE)</f>
        <v>667</v>
      </c>
      <c r="N13" s="16">
        <f>YEAR(Tabla3[[#This Row],[Fecha final]])</f>
        <v>2021</v>
      </c>
    </row>
    <row r="14" spans="1:14">
      <c r="A14" s="17">
        <v>44196</v>
      </c>
      <c r="B14" s="16" t="s">
        <v>46</v>
      </c>
      <c r="C14" s="16">
        <v>31</v>
      </c>
      <c r="D14" s="16" t="s">
        <v>42</v>
      </c>
      <c r="E14" s="16">
        <v>1210</v>
      </c>
      <c r="F14" s="16">
        <v>6881</v>
      </c>
      <c r="G14" s="16">
        <v>684</v>
      </c>
      <c r="H14" s="16">
        <f>Tabla4[[#This Row],[P1 + P4]]*VLOOKUP(MONTH(Tabla4[[#This Row],[Fecha final]]),Tabla20[#All],2,FALSE)</f>
        <v>1210</v>
      </c>
      <c r="I14" s="16">
        <f>Tabla4[[#This Row],[P2 + P5]]*VLOOKUP(MONTH(Tabla4[[#This Row],[Fecha final]]),Tabla20[#All],3,FALSE)</f>
        <v>6881</v>
      </c>
      <c r="J14" s="16">
        <f>(Tabla4[[#This Row],[P3 + P6]])*VLOOKUP(MONTH(Tabla4[[#This Row],[Fecha final]]),Tabla20[#All],4,FALSE)</f>
        <v>0</v>
      </c>
      <c r="K14" s="16">
        <f>Tabla4[[#This Row],[P1 + P4]]*VLOOKUP(MONTH(Tabla4[[#This Row],[Fecha final]]),Tabla20[#All],5,FALSE)</f>
        <v>0</v>
      </c>
      <c r="L14" s="16">
        <f>Tabla4[[#This Row],[P2 + P5]]*VLOOKUP(MONTH(Tabla4[[#This Row],[Fecha final]]),Tabla20[#All],6,FALSE)</f>
        <v>0</v>
      </c>
      <c r="M14" s="16">
        <f>Tabla4[[#This Row],[P3 + P6]]*VLOOKUP(MONTH(Tabla4[[#This Row],[Fecha final]]),Tabla20[#All],7,FALSE)</f>
        <v>684</v>
      </c>
      <c r="N14" s="16">
        <f>YEAR(Tabla3[[#This Row],[Fecha final]])</f>
        <v>2021</v>
      </c>
    </row>
    <row r="15" spans="1:14">
      <c r="A15" s="17">
        <v>44227</v>
      </c>
      <c r="B15" s="16" t="s">
        <v>47</v>
      </c>
      <c r="C15" s="16">
        <v>28</v>
      </c>
      <c r="D15" s="16" t="s">
        <v>42</v>
      </c>
      <c r="E15" s="16">
        <v>995</v>
      </c>
      <c r="F15" s="16">
        <v>5243</v>
      </c>
      <c r="G15" s="16">
        <v>733</v>
      </c>
      <c r="H15" s="16">
        <f>Tabla4[[#This Row],[P1 + P4]]*VLOOKUP(MONTH(Tabla4[[#This Row],[Fecha final]]),Tabla20[#All],2,FALSE)</f>
        <v>995</v>
      </c>
      <c r="I15" s="16">
        <f>Tabla4[[#This Row],[P2 + P5]]*VLOOKUP(MONTH(Tabla4[[#This Row],[Fecha final]]),Tabla20[#All],3,FALSE)</f>
        <v>5243</v>
      </c>
      <c r="J15" s="16">
        <f>(Tabla4[[#This Row],[P3 + P6]])*VLOOKUP(MONTH(Tabla4[[#This Row],[Fecha final]]),Tabla20[#All],4,FALSE)</f>
        <v>0</v>
      </c>
      <c r="K15" s="16">
        <f>Tabla4[[#This Row],[P1 + P4]]*VLOOKUP(MONTH(Tabla4[[#This Row],[Fecha final]]),Tabla20[#All],5,FALSE)</f>
        <v>0</v>
      </c>
      <c r="L15" s="16">
        <f>Tabla4[[#This Row],[P2 + P5]]*VLOOKUP(MONTH(Tabla4[[#This Row],[Fecha final]]),Tabla20[#All],6,FALSE)</f>
        <v>0</v>
      </c>
      <c r="M15" s="16">
        <f>Tabla4[[#This Row],[P3 + P6]]*VLOOKUP(MONTH(Tabla4[[#This Row],[Fecha final]]),Tabla20[#All],7,FALSE)</f>
        <v>733</v>
      </c>
      <c r="N15" s="16">
        <f>YEAR(Tabla3[[#This Row],[Fecha final]])</f>
        <v>2021</v>
      </c>
    </row>
    <row r="16" spans="1:14">
      <c r="A16" s="17">
        <v>44255</v>
      </c>
      <c r="B16" s="16" t="s">
        <v>48</v>
      </c>
      <c r="C16" s="16">
        <v>31</v>
      </c>
      <c r="D16" s="16" t="s">
        <v>42</v>
      </c>
      <c r="E16" s="16">
        <v>1055</v>
      </c>
      <c r="F16" s="16">
        <v>5063</v>
      </c>
      <c r="G16" s="16">
        <v>756</v>
      </c>
      <c r="H16" s="16">
        <f>Tabla4[[#This Row],[P1 + P4]]*VLOOKUP(MONTH(Tabla4[[#This Row],[Fecha final]]),Tabla20[#All],2,FALSE)</f>
        <v>0</v>
      </c>
      <c r="I16" s="16">
        <f>Tabla4[[#This Row],[P2 + P5]]*VLOOKUP(MONTH(Tabla4[[#This Row],[Fecha final]]),Tabla20[#All],3,FALSE)</f>
        <v>5063</v>
      </c>
      <c r="J16" s="16">
        <f>(Tabla4[[#This Row],[P3 + P6]])*VLOOKUP(MONTH(Tabla4[[#This Row],[Fecha final]]),Tabla20[#All],4,FALSE)</f>
        <v>226.64879999999999</v>
      </c>
      <c r="K16" s="16">
        <f>Tabla4[[#This Row],[P1 + P4]]*VLOOKUP(MONTH(Tabla4[[#This Row],[Fecha final]]),Tabla20[#All],5,FALSE)</f>
        <v>0</v>
      </c>
      <c r="L16" s="16">
        <f>Tabla4[[#This Row],[P2 + P5]]*VLOOKUP(MONTH(Tabla4[[#This Row],[Fecha final]]),Tabla20[#All],6,FALSE)</f>
        <v>0</v>
      </c>
      <c r="M16" s="16">
        <f>Tabla4[[#This Row],[P3 + P6]]*VLOOKUP(MONTH(Tabla4[[#This Row],[Fecha final]]),Tabla20[#All],7,FALSE)</f>
        <v>529.35120000000006</v>
      </c>
      <c r="N16" s="16">
        <f>YEAR(Tabla3[[#This Row],[Fecha final]])</f>
        <v>2021</v>
      </c>
    </row>
    <row r="17" spans="1:14">
      <c r="A17" s="17">
        <v>44286</v>
      </c>
      <c r="B17" s="16" t="s">
        <v>50</v>
      </c>
      <c r="C17" s="16">
        <v>30</v>
      </c>
      <c r="D17" s="16" t="s">
        <v>42</v>
      </c>
      <c r="E17" s="16">
        <v>1671</v>
      </c>
      <c r="F17" s="16">
        <v>3435</v>
      </c>
      <c r="G17" s="16">
        <v>657</v>
      </c>
      <c r="H17" s="16">
        <f>Tabla4[[#This Row],[P1 + P4]]*VLOOKUP(MONTH(Tabla4[[#This Row],[Fecha final]]),Tabla20[#All],2,FALSE)</f>
        <v>0</v>
      </c>
      <c r="I17" s="16">
        <f>Tabla4[[#This Row],[P2 + P5]]*VLOOKUP(MONTH(Tabla4[[#This Row],[Fecha final]]),Tabla20[#All],3,FALSE)</f>
        <v>0</v>
      </c>
      <c r="J17" s="16">
        <f>(Tabla4[[#This Row],[P3 + P6]])*VLOOKUP(MONTH(Tabla4[[#This Row],[Fecha final]]),Tabla20[#All],4,FALSE)</f>
        <v>0</v>
      </c>
      <c r="K17" s="16">
        <f>Tabla4[[#This Row],[P1 + P4]]*VLOOKUP(MONTH(Tabla4[[#This Row],[Fecha final]]),Tabla20[#All],5,FALSE)</f>
        <v>1671</v>
      </c>
      <c r="L17" s="16">
        <f>Tabla4[[#This Row],[P2 + P5]]*VLOOKUP(MONTH(Tabla4[[#This Row],[Fecha final]]),Tabla20[#All],6,FALSE)</f>
        <v>3435</v>
      </c>
      <c r="M17" s="16">
        <f>Tabla4[[#This Row],[P3 + P6]]*VLOOKUP(MONTH(Tabla4[[#This Row],[Fecha final]]),Tabla20[#All],7,FALSE)</f>
        <v>657</v>
      </c>
      <c r="N17" s="16">
        <f>YEAR(Tabla3[[#This Row],[Fecha final]])</f>
        <v>2021</v>
      </c>
    </row>
    <row r="18" spans="1:14">
      <c r="A18" s="17">
        <v>44316</v>
      </c>
      <c r="B18" s="16" t="s">
        <v>51</v>
      </c>
      <c r="C18" s="16">
        <v>31</v>
      </c>
      <c r="D18" s="16" t="s">
        <v>42</v>
      </c>
      <c r="E18" s="16">
        <v>1361</v>
      </c>
      <c r="F18" s="16">
        <v>2753</v>
      </c>
      <c r="G18" s="16">
        <v>611</v>
      </c>
      <c r="H18" s="16">
        <f>Tabla4[[#This Row],[P1 + P4]]*VLOOKUP(MONTH(Tabla4[[#This Row],[Fecha final]]),Tabla20[#All],2,FALSE)</f>
        <v>0</v>
      </c>
      <c r="I18" s="16">
        <f>Tabla4[[#This Row],[P2 + P5]]*VLOOKUP(MONTH(Tabla4[[#This Row],[Fecha final]]),Tabla20[#All],3,FALSE)</f>
        <v>0</v>
      </c>
      <c r="J18" s="16">
        <f>(Tabla4[[#This Row],[P3 + P6]])*VLOOKUP(MONTH(Tabla4[[#This Row],[Fecha final]]),Tabla20[#All],4,FALSE)</f>
        <v>0</v>
      </c>
      <c r="K18" s="16">
        <f>Tabla4[[#This Row],[P1 + P4]]*VLOOKUP(MONTH(Tabla4[[#This Row],[Fecha final]]),Tabla20[#All],5,FALSE)</f>
        <v>1361</v>
      </c>
      <c r="L18" s="16">
        <f>Tabla4[[#This Row],[P2 + P5]]*VLOOKUP(MONTH(Tabla4[[#This Row],[Fecha final]]),Tabla20[#All],6,FALSE)</f>
        <v>2753</v>
      </c>
      <c r="M18" s="16">
        <f>Tabla4[[#This Row],[P3 + P6]]*VLOOKUP(MONTH(Tabla4[[#This Row],[Fecha final]]),Tabla20[#All],7,FALSE)</f>
        <v>611</v>
      </c>
      <c r="N18" s="16">
        <f>YEAR(Tabla3[[#This Row],[Fecha final]])</f>
        <v>2021</v>
      </c>
    </row>
    <row r="19" spans="1:14">
      <c r="A19" s="17">
        <v>44347</v>
      </c>
      <c r="B19" s="16" t="s">
        <v>52</v>
      </c>
      <c r="C19" s="16">
        <v>30</v>
      </c>
      <c r="D19" s="16" t="s">
        <v>42</v>
      </c>
      <c r="E19" s="16">
        <v>2679</v>
      </c>
      <c r="F19" s="16">
        <v>0</v>
      </c>
      <c r="G19" s="16">
        <v>4631</v>
      </c>
      <c r="H19" s="16">
        <f>Tabla4[[#This Row],[P1 + P4]]*VLOOKUP(MONTH(Tabla4[[#This Row],[Fecha final]]),Tabla20[#All],2,FALSE)</f>
        <v>0</v>
      </c>
      <c r="I19" s="16">
        <f>Tabla4[[#This Row],[P2 + P5]]*VLOOKUP(MONTH(Tabla4[[#This Row],[Fecha final]]),Tabla20[#All],3,FALSE)</f>
        <v>0</v>
      </c>
      <c r="J19" s="16">
        <f>(Tabla4[[#This Row],[P3 + P6]])*VLOOKUP(MONTH(Tabla4[[#This Row],[Fecha final]]),Tabla20[#All],4,FALSE)</f>
        <v>1619.9238</v>
      </c>
      <c r="K19" s="16">
        <f>Tabla4[[#This Row],[P1 + P4]]*VLOOKUP(MONTH(Tabla4[[#This Row],[Fecha final]]),Tabla20[#All],5,FALSE)</f>
        <v>2679</v>
      </c>
      <c r="L19" s="16">
        <f>Tabla4[[#This Row],[P2 + P5]]*VLOOKUP(MONTH(Tabla4[[#This Row],[Fecha final]]),Tabla20[#All],6,FALSE)</f>
        <v>0</v>
      </c>
      <c r="M19" s="16">
        <f>Tabla4[[#This Row],[P3 + P6]]*VLOOKUP(MONTH(Tabla4[[#This Row],[Fecha final]]),Tabla20[#All],7,FALSE)</f>
        <v>3011.0762</v>
      </c>
      <c r="N19" s="16">
        <f>YEAR(Tabla3[[#This Row],[Fecha final]])</f>
        <v>2021</v>
      </c>
    </row>
    <row r="20" spans="1:14">
      <c r="A20" s="17">
        <v>44377</v>
      </c>
      <c r="B20" s="16" t="s">
        <v>53</v>
      </c>
      <c r="C20" s="16">
        <v>31</v>
      </c>
      <c r="D20" s="16" t="s">
        <v>42</v>
      </c>
      <c r="E20" s="16">
        <v>4739</v>
      </c>
      <c r="F20" s="16">
        <v>3297</v>
      </c>
      <c r="G20" s="16">
        <v>821</v>
      </c>
      <c r="H20" s="16">
        <f>Tabla4[[#This Row],[P1 + P4]]*VLOOKUP(MONTH(Tabla4[[#This Row],[Fecha final]]),Tabla20[#All],2,FALSE)</f>
        <v>4739</v>
      </c>
      <c r="I20" s="16">
        <f>Tabla4[[#This Row],[P2 + P5]]*VLOOKUP(MONTH(Tabla4[[#This Row],[Fecha final]]),Tabla20[#All],3,FALSE)</f>
        <v>3297</v>
      </c>
      <c r="J20" s="16">
        <f>(Tabla4[[#This Row],[P3 + P6]])*VLOOKUP(MONTH(Tabla4[[#This Row],[Fecha final]]),Tabla20[#All],4,FALSE)</f>
        <v>0</v>
      </c>
      <c r="K20" s="16">
        <f>Tabla4[[#This Row],[P1 + P4]]*VLOOKUP(MONTH(Tabla4[[#This Row],[Fecha final]]),Tabla20[#All],5,FALSE)</f>
        <v>0</v>
      </c>
      <c r="L20" s="16">
        <f>Tabla4[[#This Row],[P2 + P5]]*VLOOKUP(MONTH(Tabla4[[#This Row],[Fecha final]]),Tabla20[#All],6,FALSE)</f>
        <v>0</v>
      </c>
      <c r="M20" s="16">
        <f>Tabla4[[#This Row],[P3 + P6]]*VLOOKUP(MONTH(Tabla4[[#This Row],[Fecha final]]),Tabla20[#All],7,FALSE)</f>
        <v>821</v>
      </c>
      <c r="N20" s="16">
        <f>YEAR(Tabla3[[#This Row],[Fecha final]])</f>
        <v>2021</v>
      </c>
    </row>
    <row r="21" spans="1:14">
      <c r="A21" s="17">
        <v>44408</v>
      </c>
      <c r="B21" s="16" t="s">
        <v>54</v>
      </c>
      <c r="C21" s="16">
        <v>31</v>
      </c>
      <c r="D21" s="16" t="s">
        <v>42</v>
      </c>
      <c r="E21" s="16">
        <v>1258</v>
      </c>
      <c r="F21" s="16">
        <v>0</v>
      </c>
      <c r="G21" s="16">
        <v>4800</v>
      </c>
      <c r="H21" s="16">
        <f>Tabla4[[#This Row],[P1 + P4]]*VLOOKUP(MONTH(Tabla4[[#This Row],[Fecha final]]),Tabla20[#All],2,FALSE)</f>
        <v>0</v>
      </c>
      <c r="I21" s="16">
        <f>Tabla4[[#This Row],[P2 + P5]]*VLOOKUP(MONTH(Tabla4[[#This Row],[Fecha final]]),Tabla20[#All],3,FALSE)</f>
        <v>0</v>
      </c>
      <c r="J21" s="16">
        <f>(Tabla4[[#This Row],[P3 + P6]])*VLOOKUP(MONTH(Tabla4[[#This Row],[Fecha final]]),Tabla20[#All],4,FALSE)</f>
        <v>1610.88</v>
      </c>
      <c r="K21" s="16">
        <f>Tabla4[[#This Row],[P1 + P4]]*VLOOKUP(MONTH(Tabla4[[#This Row],[Fecha final]]),Tabla20[#All],5,FALSE)</f>
        <v>1258</v>
      </c>
      <c r="L21" s="16">
        <f>Tabla4[[#This Row],[P2 + P5]]*VLOOKUP(MONTH(Tabla4[[#This Row],[Fecha final]]),Tabla20[#All],6,FALSE)</f>
        <v>0</v>
      </c>
      <c r="M21" s="16">
        <f>Tabla4[[#This Row],[P3 + P6]]*VLOOKUP(MONTH(Tabla4[[#This Row],[Fecha final]]),Tabla20[#All],7,FALSE)</f>
        <v>3189.12</v>
      </c>
      <c r="N21" s="16">
        <f>YEAR(Tabla3[[#This Row],[Fecha final]])</f>
        <v>2021</v>
      </c>
    </row>
    <row r="22" spans="1:14">
      <c r="A22" s="17">
        <v>44439</v>
      </c>
      <c r="B22" s="16" t="s">
        <v>55</v>
      </c>
      <c r="C22" s="16">
        <v>30</v>
      </c>
      <c r="D22" s="16" t="s">
        <v>42</v>
      </c>
      <c r="E22" s="16">
        <v>2883</v>
      </c>
      <c r="F22" s="16">
        <v>0</v>
      </c>
      <c r="G22" s="16">
        <v>4724</v>
      </c>
      <c r="H22" s="16">
        <f>Tabla4[[#This Row],[P1 + P4]]*VLOOKUP(MONTH(Tabla4[[#This Row],[Fecha final]]),Tabla20[#All],2,FALSE)</f>
        <v>0</v>
      </c>
      <c r="I22" s="16">
        <f>Tabla4[[#This Row],[P2 + P5]]*VLOOKUP(MONTH(Tabla4[[#This Row],[Fecha final]]),Tabla20[#All],3,FALSE)</f>
        <v>0</v>
      </c>
      <c r="J22" s="16">
        <f>(Tabla4[[#This Row],[P3 + P6]])*VLOOKUP(MONTH(Tabla4[[#This Row],[Fecha final]]),Tabla20[#All],4,FALSE)</f>
        <v>1652.4552000000001</v>
      </c>
      <c r="K22" s="16">
        <f>Tabla4[[#This Row],[P1 + P4]]*VLOOKUP(MONTH(Tabla4[[#This Row],[Fecha final]]),Tabla20[#All],5,FALSE)</f>
        <v>2883</v>
      </c>
      <c r="L22" s="16">
        <f>Tabla4[[#This Row],[P2 + P5]]*VLOOKUP(MONTH(Tabla4[[#This Row],[Fecha final]]),Tabla20[#All],6,FALSE)</f>
        <v>0</v>
      </c>
      <c r="M22" s="16">
        <f>Tabla4[[#This Row],[P3 + P6]]*VLOOKUP(MONTH(Tabla4[[#This Row],[Fecha final]]),Tabla20[#All],7,FALSE)</f>
        <v>3071.5448000000001</v>
      </c>
      <c r="N22" s="16">
        <f>YEAR(Tabla3[[#This Row],[Fecha final]])</f>
        <v>2021</v>
      </c>
    </row>
    <row r="23" spans="1:14">
      <c r="A23" s="17">
        <v>44469</v>
      </c>
      <c r="B23" s="16" t="s">
        <v>57</v>
      </c>
      <c r="C23" s="16">
        <v>31</v>
      </c>
      <c r="D23" s="16" t="s">
        <v>42</v>
      </c>
      <c r="E23" s="16">
        <v>2571</v>
      </c>
      <c r="F23" s="16">
        <v>1864</v>
      </c>
      <c r="G23" s="16">
        <v>783</v>
      </c>
      <c r="H23" s="16">
        <f>Tabla4[[#This Row],[P1 + P4]]*VLOOKUP(MONTH(Tabla4[[#This Row],[Fecha final]]),Tabla20[#All],2,FALSE)</f>
        <v>0</v>
      </c>
      <c r="I23" s="16">
        <f>Tabla4[[#This Row],[P2 + P5]]*VLOOKUP(MONTH(Tabla4[[#This Row],[Fecha final]]),Tabla20[#All],3,FALSE)</f>
        <v>0</v>
      </c>
      <c r="J23" s="16">
        <f>(Tabla4[[#This Row],[P3 + P6]])*VLOOKUP(MONTH(Tabla4[[#This Row],[Fecha final]]),Tabla20[#All],4,FALSE)</f>
        <v>0</v>
      </c>
      <c r="K23" s="16">
        <f>Tabla4[[#This Row],[P1 + P4]]*VLOOKUP(MONTH(Tabla4[[#This Row],[Fecha final]]),Tabla20[#All],5,FALSE)</f>
        <v>2571</v>
      </c>
      <c r="L23" s="16">
        <f>Tabla4[[#This Row],[P2 + P5]]*VLOOKUP(MONTH(Tabla4[[#This Row],[Fecha final]]),Tabla20[#All],6,FALSE)</f>
        <v>1864</v>
      </c>
      <c r="M23" s="16">
        <f>Tabla4[[#This Row],[P3 + P6]]*VLOOKUP(MONTH(Tabla4[[#This Row],[Fecha final]]),Tabla20[#All],7,FALSE)</f>
        <v>783</v>
      </c>
      <c r="N23" s="16">
        <f>YEAR(Tabla3[[#This Row],[Fecha final]])</f>
        <v>2021</v>
      </c>
    </row>
    <row r="24" spans="1:14">
      <c r="A24" s="17">
        <v>44500</v>
      </c>
      <c r="B24" s="16" t="s">
        <v>58</v>
      </c>
      <c r="C24" s="16">
        <v>30</v>
      </c>
      <c r="D24" s="16" t="s">
        <v>42</v>
      </c>
      <c r="E24" s="16">
        <v>0</v>
      </c>
      <c r="F24" s="16">
        <v>3405</v>
      </c>
      <c r="G24" s="16">
        <v>3271</v>
      </c>
      <c r="H24" s="16">
        <f>Tabla4[[#This Row],[P1 + P4]]*VLOOKUP(MONTH(Tabla4[[#This Row],[Fecha final]]),Tabla20[#All],2,FALSE)</f>
        <v>0</v>
      </c>
      <c r="I24" s="16">
        <f>Tabla4[[#This Row],[P2 + P5]]*VLOOKUP(MONTH(Tabla4[[#This Row],[Fecha final]]),Tabla20[#All],3,FALSE)</f>
        <v>3405</v>
      </c>
      <c r="J24" s="16">
        <f>(Tabla4[[#This Row],[P3 + P6]])*VLOOKUP(MONTH(Tabla4[[#This Row],[Fecha final]]),Tabla20[#All],4,FALSE)</f>
        <v>905.41279999999995</v>
      </c>
      <c r="K24" s="16">
        <f>Tabla4[[#This Row],[P1 + P4]]*VLOOKUP(MONTH(Tabla4[[#This Row],[Fecha final]]),Tabla20[#All],5,FALSE)</f>
        <v>0</v>
      </c>
      <c r="L24" s="16">
        <f>Tabla4[[#This Row],[P2 + P5]]*VLOOKUP(MONTH(Tabla4[[#This Row],[Fecha final]]),Tabla20[#All],6,FALSE)</f>
        <v>0</v>
      </c>
      <c r="M24" s="16">
        <f>Tabla4[[#This Row],[P3 + P6]]*VLOOKUP(MONTH(Tabla4[[#This Row],[Fecha final]]),Tabla20[#All],7,FALSE)</f>
        <v>2365.5871999999999</v>
      </c>
      <c r="N24" s="16">
        <f>YEAR(Tabla3[[#This Row],[Fecha final]])</f>
        <v>2021</v>
      </c>
    </row>
    <row r="25" spans="1:14">
      <c r="A25" s="17">
        <v>44530</v>
      </c>
      <c r="B25" s="16" t="s">
        <v>59</v>
      </c>
      <c r="C25" s="16">
        <v>2</v>
      </c>
      <c r="D25" s="16" t="s">
        <v>42</v>
      </c>
      <c r="E25" s="16">
        <v>397</v>
      </c>
      <c r="F25" s="16">
        <v>273</v>
      </c>
      <c r="G25" s="16">
        <v>42</v>
      </c>
      <c r="H25" s="16">
        <f>Tabla4[[#This Row],[P1 + P4]]*VLOOKUP(MONTH(Tabla4[[#This Row],[Fecha final]]),Tabla20[#All],2,FALSE)</f>
        <v>397</v>
      </c>
      <c r="I25" s="16">
        <f>Tabla4[[#This Row],[P2 + P5]]*VLOOKUP(MONTH(Tabla4[[#This Row],[Fecha final]]),Tabla20[#All],3,FALSE)</f>
        <v>273</v>
      </c>
      <c r="J25" s="16">
        <f>(Tabla4[[#This Row],[P3 + P6]])*VLOOKUP(MONTH(Tabla4[[#This Row],[Fecha final]]),Tabla20[#All],4,FALSE)</f>
        <v>0</v>
      </c>
      <c r="K25" s="16">
        <f>Tabla4[[#This Row],[P1 + P4]]*VLOOKUP(MONTH(Tabla4[[#This Row],[Fecha final]]),Tabla20[#All],5,FALSE)</f>
        <v>0</v>
      </c>
      <c r="L25" s="16">
        <f>Tabla4[[#This Row],[P2 + P5]]*VLOOKUP(MONTH(Tabla4[[#This Row],[Fecha final]]),Tabla20[#All],6,FALSE)</f>
        <v>0</v>
      </c>
      <c r="M25" s="16">
        <f>Tabla4[[#This Row],[P3 + P6]]*VLOOKUP(MONTH(Tabla4[[#This Row],[Fecha final]]),Tabla20[#All],7,FALSE)</f>
        <v>42</v>
      </c>
      <c r="N25" s="16">
        <f>YEAR(Tabla3[[#This Row],[Fecha final]])</f>
        <v>2021</v>
      </c>
    </row>
    <row r="26" spans="1:14">
      <c r="A26" s="17">
        <v>44532</v>
      </c>
      <c r="B26" s="16" t="s">
        <v>60</v>
      </c>
      <c r="C26" s="16">
        <v>29</v>
      </c>
      <c r="D26" s="16" t="s">
        <v>42</v>
      </c>
      <c r="E26" s="16">
        <v>3616</v>
      </c>
      <c r="F26" s="16">
        <v>2438</v>
      </c>
      <c r="G26" s="16">
        <v>779</v>
      </c>
      <c r="H26" s="16">
        <f>Tabla4[[#This Row],[P1 + P4]]*VLOOKUP(MONTH(Tabla4[[#This Row],[Fecha final]]),Tabla20[#All],2,FALSE)</f>
        <v>3616</v>
      </c>
      <c r="I26" s="16">
        <f>Tabla4[[#This Row],[P2 + P5]]*VLOOKUP(MONTH(Tabla4[[#This Row],[Fecha final]]),Tabla20[#All],3,FALSE)</f>
        <v>2438</v>
      </c>
      <c r="J26" s="16">
        <f>(Tabla4[[#This Row],[P3 + P6]])*VLOOKUP(MONTH(Tabla4[[#This Row],[Fecha final]]),Tabla20[#All],4,FALSE)</f>
        <v>0</v>
      </c>
      <c r="K26" s="16">
        <f>Tabla4[[#This Row],[P1 + P4]]*VLOOKUP(MONTH(Tabla4[[#This Row],[Fecha final]]),Tabla20[#All],5,FALSE)</f>
        <v>0</v>
      </c>
      <c r="L26" s="16">
        <f>Tabla4[[#This Row],[P2 + P5]]*VLOOKUP(MONTH(Tabla4[[#This Row],[Fecha final]]),Tabla20[#All],6,FALSE)</f>
        <v>0</v>
      </c>
      <c r="M26" s="16">
        <f>Tabla4[[#This Row],[P3 + P6]]*VLOOKUP(MONTH(Tabla4[[#This Row],[Fecha final]]),Tabla20[#All],7,FALSE)</f>
        <v>779</v>
      </c>
      <c r="N26" s="16">
        <f>YEAR(Tabla3[[#This Row],[Fecha final]])</f>
        <v>2021</v>
      </c>
    </row>
    <row r="27" spans="1:14">
      <c r="A27" s="17">
        <v>44561</v>
      </c>
      <c r="B27" s="16" t="s">
        <v>61</v>
      </c>
      <c r="C27" s="16">
        <v>31</v>
      </c>
      <c r="D27" s="16" t="s">
        <v>42</v>
      </c>
      <c r="E27" s="16">
        <v>3985</v>
      </c>
      <c r="F27" s="16">
        <v>2799</v>
      </c>
      <c r="G27" s="16">
        <v>874</v>
      </c>
      <c r="H27" s="16">
        <f>Tabla4[[#This Row],[P1 + P4]]*VLOOKUP(MONTH(Tabla4[[#This Row],[Fecha final]]),Tabla20[#All],2,FALSE)</f>
        <v>3985</v>
      </c>
      <c r="I27" s="16">
        <f>Tabla4[[#This Row],[P2 + P5]]*VLOOKUP(MONTH(Tabla4[[#This Row],[Fecha final]]),Tabla20[#All],3,FALSE)</f>
        <v>2799</v>
      </c>
      <c r="J27" s="16">
        <f>(Tabla4[[#This Row],[P3 + P6]])*VLOOKUP(MONTH(Tabla4[[#This Row],[Fecha final]]),Tabla20[#All],4,FALSE)</f>
        <v>0</v>
      </c>
      <c r="K27" s="16">
        <f>Tabla4[[#This Row],[P1 + P4]]*VLOOKUP(MONTH(Tabla4[[#This Row],[Fecha final]]),Tabla20[#All],5,FALSE)</f>
        <v>0</v>
      </c>
      <c r="L27" s="16">
        <f>Tabla4[[#This Row],[P2 + P5]]*VLOOKUP(MONTH(Tabla4[[#This Row],[Fecha final]]),Tabla20[#All],6,FALSE)</f>
        <v>0</v>
      </c>
      <c r="M27" s="16">
        <f>Tabla4[[#This Row],[P3 + P6]]*VLOOKUP(MONTH(Tabla4[[#This Row],[Fecha final]]),Tabla20[#All],7,FALSE)</f>
        <v>874</v>
      </c>
      <c r="N27" s="16">
        <f>YEAR(Tabla3[[#This Row],[Fecha final]])</f>
        <v>2022</v>
      </c>
    </row>
    <row r="28" spans="1:14">
      <c r="A28" s="17">
        <v>44592</v>
      </c>
      <c r="B28" s="16" t="s">
        <v>62</v>
      </c>
      <c r="C28" s="16">
        <v>28</v>
      </c>
      <c r="D28" s="16" t="s">
        <v>42</v>
      </c>
      <c r="E28" s="16">
        <v>3564</v>
      </c>
      <c r="F28" s="16">
        <v>2608</v>
      </c>
      <c r="G28" s="16">
        <v>773</v>
      </c>
      <c r="H28" s="16">
        <f>Tabla4[[#This Row],[P1 + P4]]*VLOOKUP(MONTH(Tabla4[[#This Row],[Fecha final]]),Tabla20[#All],2,FALSE)</f>
        <v>3564</v>
      </c>
      <c r="I28" s="16">
        <f>Tabla4[[#This Row],[P2 + P5]]*VLOOKUP(MONTH(Tabla4[[#This Row],[Fecha final]]),Tabla20[#All],3,FALSE)</f>
        <v>2608</v>
      </c>
      <c r="J28" s="16">
        <f>(Tabla4[[#This Row],[P3 + P6]])*VLOOKUP(MONTH(Tabla4[[#This Row],[Fecha final]]),Tabla20[#All],4,FALSE)</f>
        <v>0</v>
      </c>
      <c r="K28" s="16">
        <f>Tabla4[[#This Row],[P1 + P4]]*VLOOKUP(MONTH(Tabla4[[#This Row],[Fecha final]]),Tabla20[#All],5,FALSE)</f>
        <v>0</v>
      </c>
      <c r="L28" s="16">
        <f>Tabla4[[#This Row],[P2 + P5]]*VLOOKUP(MONTH(Tabla4[[#This Row],[Fecha final]]),Tabla20[#All],6,FALSE)</f>
        <v>0</v>
      </c>
      <c r="M28" s="16">
        <f>Tabla4[[#This Row],[P3 + P6]]*VLOOKUP(MONTH(Tabla4[[#This Row],[Fecha final]]),Tabla20[#All],7,FALSE)</f>
        <v>773</v>
      </c>
      <c r="N28" s="16">
        <f>YEAR(Tabla3[[#This Row],[Fecha final]])</f>
        <v>2022</v>
      </c>
    </row>
    <row r="29" spans="1:14">
      <c r="A29" s="17">
        <v>44620</v>
      </c>
      <c r="B29" s="16" t="s">
        <v>63</v>
      </c>
      <c r="C29" s="16">
        <v>31</v>
      </c>
      <c r="D29" s="16" t="s">
        <v>42</v>
      </c>
      <c r="E29" s="16">
        <v>0</v>
      </c>
      <c r="F29" s="16">
        <v>3614</v>
      </c>
      <c r="G29" s="16">
        <v>3769</v>
      </c>
      <c r="H29" s="16">
        <f>Tabla4[[#This Row],[P1 + P4]]*VLOOKUP(MONTH(Tabla4[[#This Row],[Fecha final]]),Tabla20[#All],2,FALSE)</f>
        <v>0</v>
      </c>
      <c r="I29" s="16">
        <f>Tabla4[[#This Row],[P2 + P5]]*VLOOKUP(MONTH(Tabla4[[#This Row],[Fecha final]]),Tabla20[#All],3,FALSE)</f>
        <v>3614</v>
      </c>
      <c r="J29" s="16">
        <f>(Tabla4[[#This Row],[P3 + P6]])*VLOOKUP(MONTH(Tabla4[[#This Row],[Fecha final]]),Tabla20[#All],4,FALSE)</f>
        <v>1129.9462000000001</v>
      </c>
      <c r="K29" s="16">
        <f>Tabla4[[#This Row],[P1 + P4]]*VLOOKUP(MONTH(Tabla4[[#This Row],[Fecha final]]),Tabla20[#All],5,FALSE)</f>
        <v>0</v>
      </c>
      <c r="L29" s="16">
        <f>Tabla4[[#This Row],[P2 + P5]]*VLOOKUP(MONTH(Tabla4[[#This Row],[Fecha final]]),Tabla20[#All],6,FALSE)</f>
        <v>0</v>
      </c>
      <c r="M29" s="16">
        <f>Tabla4[[#This Row],[P3 + P6]]*VLOOKUP(MONTH(Tabla4[[#This Row],[Fecha final]]),Tabla20[#All],7,FALSE)</f>
        <v>2639.0538000000001</v>
      </c>
      <c r="N29" s="16">
        <f>YEAR(Tabla3[[#This Row],[Fecha final]])</f>
        <v>2022</v>
      </c>
    </row>
    <row r="30" spans="1:14">
      <c r="A30" s="17">
        <v>44651</v>
      </c>
      <c r="B30" s="16" t="s">
        <v>65</v>
      </c>
      <c r="C30" s="16">
        <v>30</v>
      </c>
      <c r="D30" s="16" t="s">
        <v>42</v>
      </c>
      <c r="E30" s="16">
        <v>2486</v>
      </c>
      <c r="F30" s="16">
        <v>2025</v>
      </c>
      <c r="G30" s="16">
        <v>726</v>
      </c>
      <c r="H30" s="16">
        <f>Tabla4[[#This Row],[P1 + P4]]*VLOOKUP(MONTH(Tabla4[[#This Row],[Fecha final]]),Tabla20[#All],2,FALSE)</f>
        <v>0</v>
      </c>
      <c r="I30" s="16">
        <f>Tabla4[[#This Row],[P2 + P5]]*VLOOKUP(MONTH(Tabla4[[#This Row],[Fecha final]]),Tabla20[#All],3,FALSE)</f>
        <v>0</v>
      </c>
      <c r="J30" s="16">
        <f>(Tabla4[[#This Row],[P3 + P6]])*VLOOKUP(MONTH(Tabla4[[#This Row],[Fecha final]]),Tabla20[#All],4,FALSE)</f>
        <v>0</v>
      </c>
      <c r="K30" s="16">
        <f>Tabla4[[#This Row],[P1 + P4]]*VLOOKUP(MONTH(Tabla4[[#This Row],[Fecha final]]),Tabla20[#All],5,FALSE)</f>
        <v>2486</v>
      </c>
      <c r="L30" s="16">
        <f>Tabla4[[#This Row],[P2 + P5]]*VLOOKUP(MONTH(Tabla4[[#This Row],[Fecha final]]),Tabla20[#All],6,FALSE)</f>
        <v>2025</v>
      </c>
      <c r="M30" s="16">
        <f>Tabla4[[#This Row],[P3 + P6]]*VLOOKUP(MONTH(Tabla4[[#This Row],[Fecha final]]),Tabla20[#All],7,FALSE)</f>
        <v>726</v>
      </c>
      <c r="N30" s="16">
        <f>YEAR(Tabla3[[#This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2587</v>
      </c>
      <c r="F31" s="16">
        <v>2079</v>
      </c>
      <c r="G31" s="16">
        <v>713</v>
      </c>
      <c r="H31" s="16">
        <f>Tabla4[[#This Row],[P1 + P4]]*VLOOKUP(MONTH(Tabla4[[#This Row],[Fecha final]]),Tabla20[#All],2,FALSE)</f>
        <v>0</v>
      </c>
      <c r="I31" s="16">
        <f>Tabla4[[#This Row],[P2 + P5]]*VLOOKUP(MONTH(Tabla4[[#This Row],[Fecha final]]),Tabla20[#All],3,FALSE)</f>
        <v>0</v>
      </c>
      <c r="J31" s="16">
        <f>(Tabla4[[#This Row],[P3 + P6]])*VLOOKUP(MONTH(Tabla4[[#This Row],[Fecha final]]),Tabla20[#All],4,FALSE)</f>
        <v>0</v>
      </c>
      <c r="K31" s="16">
        <f>Tabla4[[#This Row],[P1 + P4]]*VLOOKUP(MONTH(Tabla4[[#This Row],[Fecha final]]),Tabla20[#All],5,FALSE)</f>
        <v>2587</v>
      </c>
      <c r="L31" s="16">
        <f>Tabla4[[#This Row],[P2 + P5]]*VLOOKUP(MONTH(Tabla4[[#This Row],[Fecha final]]),Tabla20[#All],6,FALSE)</f>
        <v>2079</v>
      </c>
      <c r="M31" s="16">
        <f>Tabla4[[#This Row],[P3 + P6]]*VLOOKUP(MONTH(Tabla4[[#This Row],[Fecha final]]),Tabla20[#All],7,FALSE)</f>
        <v>713</v>
      </c>
      <c r="N31" s="16">
        <f>YEAR(Tabla3[[#This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2749</v>
      </c>
      <c r="F32" s="16">
        <v>0</v>
      </c>
      <c r="G32" s="16">
        <v>4120</v>
      </c>
      <c r="H32" s="16">
        <f>Tabla4[[#This Row],[P1 + P4]]*VLOOKUP(MONTH(Tabla4[[#This Row],[Fecha final]]),Tabla20[#All],2,FALSE)</f>
        <v>0</v>
      </c>
      <c r="I32" s="16">
        <f>Tabla4[[#This Row],[P2 + P5]]*VLOOKUP(MONTH(Tabla4[[#This Row],[Fecha final]]),Tabla20[#All],3,FALSE)</f>
        <v>0</v>
      </c>
      <c r="J32" s="16">
        <f>(Tabla4[[#This Row],[P3 + P6]])*VLOOKUP(MONTH(Tabla4[[#This Row],[Fecha final]]),Tabla20[#All],4,FALSE)</f>
        <v>1441.1759999999999</v>
      </c>
      <c r="K32" s="16">
        <f>Tabla4[[#This Row],[P1 + P4]]*VLOOKUP(MONTH(Tabla4[[#This Row],[Fecha final]]),Tabla20[#All],5,FALSE)</f>
        <v>2749</v>
      </c>
      <c r="L32" s="16">
        <f>Tabla4[[#This Row],[P2 + P5]]*VLOOKUP(MONTH(Tabla4[[#This Row],[Fecha final]]),Tabla20[#All],6,FALSE)</f>
        <v>0</v>
      </c>
      <c r="M32" s="16">
        <f>Tabla4[[#This Row],[P3 + P6]]*VLOOKUP(MONTH(Tabla4[[#This Row],[Fecha final]]),Tabla20[#All],7,FALSE)</f>
        <v>2678.8240000000001</v>
      </c>
      <c r="N32" s="16">
        <f>YEAR(Tabla3[[#This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3895</v>
      </c>
      <c r="F33" s="16">
        <v>3028</v>
      </c>
      <c r="G33" s="16">
        <v>899</v>
      </c>
      <c r="H33" s="16">
        <f>Tabla4[[#This Row],[P1 + P4]]*VLOOKUP(MONTH(Tabla4[[#This Row],[Fecha final]]),Tabla20[#All],2,FALSE)</f>
        <v>3895</v>
      </c>
      <c r="I33" s="16">
        <f>Tabla4[[#This Row],[P2 + P5]]*VLOOKUP(MONTH(Tabla4[[#This Row],[Fecha final]]),Tabla20[#All],3,FALSE)</f>
        <v>3028</v>
      </c>
      <c r="J33" s="16">
        <f>(Tabla4[[#This Row],[P3 + P6]])*VLOOKUP(MONTH(Tabla4[[#This Row],[Fecha final]]),Tabla20[#All],4,FALSE)</f>
        <v>0</v>
      </c>
      <c r="K33" s="16">
        <f>Tabla4[[#This Row],[P1 + P4]]*VLOOKUP(MONTH(Tabla4[[#This Row],[Fecha final]]),Tabla20[#All],5,FALSE)</f>
        <v>0</v>
      </c>
      <c r="L33" s="16">
        <f>Tabla4[[#This Row],[P2 + P5]]*VLOOKUP(MONTH(Tabla4[[#This Row],[Fecha final]]),Tabla20[#All],6,FALSE)</f>
        <v>0</v>
      </c>
      <c r="M33" s="16">
        <f>Tabla4[[#This Row],[P3 + P6]]*VLOOKUP(MONTH(Tabla4[[#This Row],[Fecha final]]),Tabla20[#All],7,FALSE)</f>
        <v>899</v>
      </c>
      <c r="N33" s="16">
        <f>YEAR(Tabla3[[#This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1667</v>
      </c>
      <c r="F34" s="16">
        <v>0</v>
      </c>
      <c r="G34" s="16">
        <v>4246</v>
      </c>
      <c r="H34" s="16">
        <f>Tabla4[[#This Row],[P1 + P4]]*VLOOKUP(MONTH(Tabla4[[#This Row],[Fecha final]]),Tabla20[#All],2,FALSE)</f>
        <v>0</v>
      </c>
      <c r="I34" s="16">
        <f>Tabla4[[#This Row],[P2 + P5]]*VLOOKUP(MONTH(Tabla4[[#This Row],[Fecha final]]),Tabla20[#All],3,FALSE)</f>
        <v>0</v>
      </c>
      <c r="J34" s="16">
        <f>(Tabla4[[#This Row],[P3 + P6]])*VLOOKUP(MONTH(Tabla4[[#This Row],[Fecha final]]),Tabla20[#All],4,FALSE)</f>
        <v>1424.9576</v>
      </c>
      <c r="K34" s="16">
        <f>Tabla4[[#This Row],[P1 + P4]]*VLOOKUP(MONTH(Tabla4[[#This Row],[Fecha final]]),Tabla20[#All],5,FALSE)</f>
        <v>1667</v>
      </c>
      <c r="L34" s="16">
        <f>Tabla4[[#This Row],[P2 + P5]]*VLOOKUP(MONTH(Tabla4[[#This Row],[Fecha final]]),Tabla20[#All],6,FALSE)</f>
        <v>0</v>
      </c>
      <c r="M34" s="16">
        <f>Tabla4[[#This Row],[P3 + P6]]*VLOOKUP(MONTH(Tabla4[[#This Row],[Fecha final]]),Tabla20[#All],7,FALSE)</f>
        <v>2821.0423999999998</v>
      </c>
      <c r="N34" s="16">
        <f>YEAR(Tabla3[[#This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2507</v>
      </c>
      <c r="F35" s="16">
        <v>0</v>
      </c>
      <c r="G35" s="16">
        <v>3836</v>
      </c>
      <c r="H35" s="16">
        <f>Tabla4[[#This Row],[P1 + P4]]*VLOOKUP(MONTH(Tabla4[[#This Row],[Fecha final]]),Tabla20[#All],2,FALSE)</f>
        <v>0</v>
      </c>
      <c r="I35" s="16">
        <f>Tabla4[[#This Row],[P2 + P5]]*VLOOKUP(MONTH(Tabla4[[#This Row],[Fecha final]]),Tabla20[#All],3,FALSE)</f>
        <v>0</v>
      </c>
      <c r="J35" s="16">
        <f>(Tabla4[[#This Row],[P3 + P6]])*VLOOKUP(MONTH(Tabla4[[#This Row],[Fecha final]]),Tabla20[#All],4,FALSE)</f>
        <v>1341.8327999999999</v>
      </c>
      <c r="K35" s="16">
        <f>Tabla4[[#This Row],[P1 + P4]]*VLOOKUP(MONTH(Tabla4[[#This Row],[Fecha final]]),Tabla20[#All],5,FALSE)</f>
        <v>2507</v>
      </c>
      <c r="L35" s="16">
        <f>Tabla4[[#This Row],[P2 + P5]]*VLOOKUP(MONTH(Tabla4[[#This Row],[Fecha final]]),Tabla20[#All],6,FALSE)</f>
        <v>0</v>
      </c>
      <c r="M35" s="16">
        <f>Tabla4[[#This Row],[P3 + P6]]*VLOOKUP(MONTH(Tabla4[[#This Row],[Fecha final]]),Tabla20[#All],7,FALSE)</f>
        <v>2494.1671999999999</v>
      </c>
      <c r="N35" s="16">
        <f>YEAR(Tabla3[[#This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2254</v>
      </c>
      <c r="F36" s="16">
        <v>1803</v>
      </c>
      <c r="G36" s="16">
        <v>730</v>
      </c>
      <c r="H36" s="16">
        <f>Tabla4[[#This Row],[P1 + P4]]*VLOOKUP(MONTH(Tabla4[[#This Row],[Fecha final]]),Tabla20[#All],2,FALSE)</f>
        <v>0</v>
      </c>
      <c r="I36" s="16">
        <f>Tabla4[[#This Row],[P2 + P5]]*VLOOKUP(MONTH(Tabla4[[#This Row],[Fecha final]]),Tabla20[#All],3,FALSE)</f>
        <v>0</v>
      </c>
      <c r="J36" s="16">
        <f>(Tabla4[[#This Row],[P3 + P6]])*VLOOKUP(MONTH(Tabla4[[#This Row],[Fecha final]]),Tabla20[#All],4,FALSE)</f>
        <v>0</v>
      </c>
      <c r="K36" s="16">
        <f>Tabla4[[#This Row],[P1 + P4]]*VLOOKUP(MONTH(Tabla4[[#This Row],[Fecha final]]),Tabla20[#All],5,FALSE)</f>
        <v>2254</v>
      </c>
      <c r="L36" s="16">
        <f>Tabla4[[#This Row],[P2 + P5]]*VLOOKUP(MONTH(Tabla4[[#This Row],[Fecha final]]),Tabla20[#All],6,FALSE)</f>
        <v>1803</v>
      </c>
      <c r="M36" s="16">
        <f>Tabla4[[#This Row],[P3 + P6]]*VLOOKUP(MONTH(Tabla4[[#This Row],[Fecha final]]),Tabla20[#All],7,FALSE)</f>
        <v>730</v>
      </c>
      <c r="N36" s="16">
        <f>YEAR(Tabla3[[#This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2081</v>
      </c>
      <c r="G37" s="16">
        <v>2280</v>
      </c>
      <c r="H37" s="16">
        <f>Tabla4[[#This Row],[P1 + P4]]*VLOOKUP(MONTH(Tabla4[[#This Row],[Fecha final]]),Tabla20[#All],2,FALSE)</f>
        <v>0</v>
      </c>
      <c r="I37" s="16">
        <f>Tabla4[[#This Row],[P2 + P5]]*VLOOKUP(MONTH(Tabla4[[#This Row],[Fecha final]]),Tabla20[#All],3,FALSE)</f>
        <v>2081</v>
      </c>
      <c r="J37" s="16">
        <f>(Tabla4[[#This Row],[P3 + P6]])*VLOOKUP(MONTH(Tabla4[[#This Row],[Fecha final]]),Tabla20[#All],4,FALSE)</f>
        <v>631.10399999999993</v>
      </c>
      <c r="K37" s="16">
        <f>Tabla4[[#This Row],[P1 + P4]]*VLOOKUP(MONTH(Tabla4[[#This Row],[Fecha final]]),Tabla20[#All],5,FALSE)</f>
        <v>0</v>
      </c>
      <c r="L37" s="16">
        <f>Tabla4[[#This Row],[P2 + P5]]*VLOOKUP(MONTH(Tabla4[[#This Row],[Fecha final]]),Tabla20[#All],6,FALSE)</f>
        <v>0</v>
      </c>
      <c r="M37" s="16">
        <f>Tabla4[[#This Row],[P3 + P6]]*VLOOKUP(MONTH(Tabla4[[#This Row],[Fecha final]]),Tabla20[#All],7,FALSE)</f>
        <v>1648.896</v>
      </c>
      <c r="N37" s="16">
        <f>YEAR(Tabla3[[#This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2794</v>
      </c>
      <c r="F38" s="16">
        <v>2137</v>
      </c>
      <c r="G38" s="16">
        <v>637</v>
      </c>
      <c r="H38" s="16">
        <f>Tabla4[[#This Row],[P1 + P4]]*VLOOKUP(MONTH(Tabla4[[#This Row],[Fecha final]]),Tabla20[#All],2,FALSE)</f>
        <v>2794</v>
      </c>
      <c r="I38" s="16">
        <f>Tabla4[[#This Row],[P2 + P5]]*VLOOKUP(MONTH(Tabla4[[#This Row],[Fecha final]]),Tabla20[#All],3,FALSE)</f>
        <v>2137</v>
      </c>
      <c r="J38" s="16">
        <f>(Tabla4[[#This Row],[P3 + P6]])*VLOOKUP(MONTH(Tabla4[[#This Row],[Fecha final]]),Tabla20[#All],4,FALSE)</f>
        <v>0</v>
      </c>
      <c r="K38" s="16">
        <f>Tabla4[[#This Row],[P1 + P4]]*VLOOKUP(MONTH(Tabla4[[#This Row],[Fecha final]]),Tabla20[#All],5,FALSE)</f>
        <v>0</v>
      </c>
      <c r="L38" s="16">
        <f>Tabla4[[#This Row],[P2 + P5]]*VLOOKUP(MONTH(Tabla4[[#This Row],[Fecha final]]),Tabla20[#All],6,FALSE)</f>
        <v>0</v>
      </c>
      <c r="M38" s="16">
        <f>Tabla4[[#This Row],[P3 + P6]]*VLOOKUP(MONTH(Tabla4[[#This Row],[Fecha final]]),Tabla20[#All],7,FALSE)</f>
        <v>637</v>
      </c>
      <c r="N38" s="16">
        <f>YEAR(Tabla3[[#This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3487</v>
      </c>
      <c r="F39" s="16">
        <v>2579</v>
      </c>
      <c r="G39" s="16">
        <v>688</v>
      </c>
      <c r="H39" s="16">
        <f>Tabla4[[#This Row],[P1 + P4]]*VLOOKUP(MONTH(Tabla4[[#This Row],[Fecha final]]),Tabla20[#All],2,FALSE)</f>
        <v>3487</v>
      </c>
      <c r="I39" s="16">
        <f>Tabla4[[#This Row],[P2 + P5]]*VLOOKUP(MONTH(Tabla4[[#This Row],[Fecha final]]),Tabla20[#All],3,FALSE)</f>
        <v>2579</v>
      </c>
      <c r="J39" s="16">
        <f>(Tabla4[[#This Row],[P3 + P6]])*VLOOKUP(MONTH(Tabla4[[#This Row],[Fecha final]]),Tabla20[#All],4,FALSE)</f>
        <v>0</v>
      </c>
      <c r="K39" s="16">
        <f>Tabla4[[#This Row],[P1 + P4]]*VLOOKUP(MONTH(Tabla4[[#This Row],[Fecha final]]),Tabla20[#All],5,FALSE)</f>
        <v>0</v>
      </c>
      <c r="L39" s="16">
        <f>Tabla4[[#This Row],[P2 + P5]]*VLOOKUP(MONTH(Tabla4[[#This Row],[Fecha final]]),Tabla20[#All],6,FALSE)</f>
        <v>0</v>
      </c>
      <c r="M39" s="16">
        <f>Tabla4[[#This Row],[P3 + P6]]*VLOOKUP(MONTH(Tabla4[[#This Row],[Fecha final]]),Tabla20[#All],7,FALSE)</f>
        <v>688</v>
      </c>
      <c r="N39" s="16">
        <f>YEAR(Tabla3[[#This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3832</v>
      </c>
      <c r="F40" s="16">
        <v>2809</v>
      </c>
      <c r="G40" s="16">
        <v>622</v>
      </c>
      <c r="H40" s="16">
        <f>Tabla4[[#This Row],[P1 + P4]]*VLOOKUP(MONTH(Tabla4[[#This Row],[Fecha final]]),Tabla20[#All],2,FALSE)</f>
        <v>3832</v>
      </c>
      <c r="I40" s="16">
        <f>Tabla4[[#This Row],[P2 + P5]]*VLOOKUP(MONTH(Tabla4[[#This Row],[Fecha final]]),Tabla20[#All],3,FALSE)</f>
        <v>2809</v>
      </c>
      <c r="J40" s="16">
        <f>(Tabla4[[#This Row],[P3 + P6]])*VLOOKUP(MONTH(Tabla4[[#This Row],[Fecha final]]),Tabla20[#All],4,FALSE)</f>
        <v>0</v>
      </c>
      <c r="K40" s="16">
        <f>Tabla4[[#This Row],[P1 + P4]]*VLOOKUP(MONTH(Tabla4[[#This Row],[Fecha final]]),Tabla20[#All],5,FALSE)</f>
        <v>0</v>
      </c>
      <c r="L40" s="16">
        <f>Tabla4[[#This Row],[P2 + P5]]*VLOOKUP(MONTH(Tabla4[[#This Row],[Fecha final]]),Tabla20[#All],6,FALSE)</f>
        <v>0</v>
      </c>
      <c r="M40" s="16">
        <f>Tabla4[[#This Row],[P3 + P6]]*VLOOKUP(MONTH(Tabla4[[#This Row],[Fecha final]]),Tabla20[#All],7,FALSE)</f>
        <v>622</v>
      </c>
      <c r="N40" s="16">
        <f>YEAR(Tabla3[[#This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3145</v>
      </c>
      <c r="G41" s="16">
        <v>2914</v>
      </c>
      <c r="H41" s="16">
        <f>Tabla4[[#This Row],[P1 + P4]]*VLOOKUP(MONTH(Tabla4[[#This Row],[Fecha final]]),Tabla20[#All],2,FALSE)</f>
        <v>0</v>
      </c>
      <c r="I41" s="16">
        <f>Tabla4[[#This Row],[P2 + P5]]*VLOOKUP(MONTH(Tabla4[[#This Row],[Fecha final]]),Tabla20[#All],3,FALSE)</f>
        <v>3145</v>
      </c>
      <c r="J41" s="16">
        <f>(Tabla4[[#This Row],[P3 + P6]])*VLOOKUP(MONTH(Tabla4[[#This Row],[Fecha final]]),Tabla20[#All],4,FALSE)</f>
        <v>873.61720000000003</v>
      </c>
      <c r="K41" s="16">
        <f>Tabla4[[#This Row],[P1 + P4]]*VLOOKUP(MONTH(Tabla4[[#This Row],[Fecha final]]),Tabla20[#All],5,FALSE)</f>
        <v>0</v>
      </c>
      <c r="L41" s="16">
        <f>Tabla4[[#This Row],[P2 + P5]]*VLOOKUP(MONTH(Tabla4[[#This Row],[Fecha final]]),Tabla20[#All],6,FALSE)</f>
        <v>0</v>
      </c>
      <c r="M41" s="16">
        <f>Tabla4[[#This Row],[P3 + P6]]*VLOOKUP(MONTH(Tabla4[[#This Row],[Fecha final]]),Tabla20[#All],7,FALSE)</f>
        <v>2040.3828000000001</v>
      </c>
      <c r="N41" s="16">
        <f>YEAR(Tabla3[[#This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34</v>
      </c>
      <c r="G47" s="16">
        <v>53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270</v>
      </c>
      <c r="F48" s="16">
        <v>203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375</v>
      </c>
      <c r="F49" s="16">
        <v>309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271</v>
      </c>
      <c r="F50" s="16">
        <v>233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15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147</v>
      </c>
      <c r="F52" s="16">
        <v>130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401</v>
      </c>
      <c r="F53" s="16">
        <v>0</v>
      </c>
      <c r="G53" s="16">
        <v>438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207</v>
      </c>
      <c r="F54" s="16">
        <v>0</v>
      </c>
      <c r="G54" s="16">
        <v>425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529</v>
      </c>
      <c r="F55" s="16">
        <v>502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471</v>
      </c>
      <c r="F56" s="16">
        <v>0</v>
      </c>
      <c r="G56" s="16">
        <v>500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125</v>
      </c>
      <c r="F57" s="16">
        <v>151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115</v>
      </c>
      <c r="F58" s="16">
        <v>156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280</v>
      </c>
      <c r="G59" s="16">
        <v>251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335</v>
      </c>
      <c r="F60" s="16">
        <v>227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507</v>
      </c>
      <c r="F61" s="16">
        <v>375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382</v>
      </c>
      <c r="F62" s="16">
        <v>274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49</v>
      </c>
      <c r="F63" s="16">
        <v>34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235</v>
      </c>
      <c r="G64" s="16">
        <v>169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80</v>
      </c>
      <c r="F65" s="16">
        <v>62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474</v>
      </c>
      <c r="F66" s="16">
        <v>0</v>
      </c>
      <c r="G66" s="16">
        <v>626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152</v>
      </c>
      <c r="F67" s="16">
        <v>0</v>
      </c>
      <c r="G67" s="16">
        <v>696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857</v>
      </c>
      <c r="F68" s="16">
        <v>683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416</v>
      </c>
      <c r="F69" s="16">
        <v>0</v>
      </c>
      <c r="G69" s="16">
        <v>475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388</v>
      </c>
      <c r="F70" s="16">
        <v>849</v>
      </c>
      <c r="G70" s="16">
        <v>151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619</v>
      </c>
      <c r="F71" s="16">
        <v>1312</v>
      </c>
      <c r="G71" s="16">
        <v>183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411</v>
      </c>
      <c r="F72" s="16">
        <v>1955</v>
      </c>
      <c r="G72" s="16">
        <v>226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431</v>
      </c>
      <c r="F73" s="16">
        <v>2128</v>
      </c>
      <c r="G73" s="16">
        <v>203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564</v>
      </c>
      <c r="F74" s="16">
        <v>3078</v>
      </c>
      <c r="G74" s="16">
        <v>206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356</v>
      </c>
      <c r="F75" s="16">
        <v>1775</v>
      </c>
      <c r="G75" s="16">
        <v>158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161</v>
      </c>
      <c r="F76" s="16">
        <v>260</v>
      </c>
      <c r="G76" s="16">
        <v>22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240</v>
      </c>
      <c r="F77" s="16">
        <v>545</v>
      </c>
      <c r="G77" s="16">
        <v>47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887</v>
      </c>
      <c r="F78" s="16">
        <v>1721</v>
      </c>
      <c r="G78" s="16">
        <v>155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1190</v>
      </c>
      <c r="F79" s="16">
        <v>1319</v>
      </c>
      <c r="G79" s="16">
        <v>95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1500</v>
      </c>
      <c r="F80" s="16">
        <v>2733</v>
      </c>
      <c r="G80" s="16">
        <v>254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800</v>
      </c>
      <c r="F81" s="16">
        <v>1510</v>
      </c>
      <c r="G81" s="16">
        <v>149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125</v>
      </c>
      <c r="C87" s="16">
        <v>125</v>
      </c>
      <c r="D87" s="16">
        <v>125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40</v>
      </c>
      <c r="G89" s="16">
        <v>40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44</v>
      </c>
      <c r="F90" s="16">
        <v>40</v>
      </c>
      <c r="G90" s="16">
        <v>28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40</v>
      </c>
      <c r="F91" s="16">
        <v>40</v>
      </c>
      <c r="G91" s="16">
        <v>24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36</v>
      </c>
      <c r="F92" s="16">
        <v>36</v>
      </c>
      <c r="G92" s="16">
        <v>24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36</v>
      </c>
      <c r="G93" s="16">
        <v>32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28</v>
      </c>
      <c r="F94" s="16">
        <v>28</v>
      </c>
      <c r="G94" s="16">
        <v>24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32</v>
      </c>
      <c r="F95" s="16">
        <v>0</v>
      </c>
      <c r="G95" s="16">
        <v>36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36</v>
      </c>
      <c r="F96" s="16">
        <v>0</v>
      </c>
      <c r="G96" s="16">
        <v>36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40</v>
      </c>
      <c r="F97" s="16">
        <v>36</v>
      </c>
      <c r="G97" s="16">
        <v>32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36</v>
      </c>
      <c r="F98" s="16">
        <v>0</v>
      </c>
      <c r="G98" s="16">
        <v>36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32</v>
      </c>
      <c r="F99" s="16">
        <v>36</v>
      </c>
      <c r="G99" s="16">
        <v>24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36</v>
      </c>
      <c r="F100" s="16">
        <v>40</v>
      </c>
      <c r="G100" s="16">
        <v>28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36</v>
      </c>
      <c r="G101" s="16">
        <v>36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40</v>
      </c>
      <c r="F102" s="16">
        <v>36</v>
      </c>
      <c r="G102" s="16">
        <v>32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40</v>
      </c>
      <c r="F103" s="16">
        <v>40</v>
      </c>
      <c r="G103" s="16">
        <v>28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44</v>
      </c>
      <c r="F104" s="16">
        <v>40</v>
      </c>
      <c r="G104" s="16">
        <v>28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36</v>
      </c>
      <c r="F105" s="16">
        <v>32</v>
      </c>
      <c r="G105" s="16">
        <v>24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40</v>
      </c>
      <c r="G106" s="16">
        <v>36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28</v>
      </c>
      <c r="F107" s="16">
        <v>32</v>
      </c>
      <c r="G107" s="16">
        <v>36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44</v>
      </c>
      <c r="F108" s="16">
        <v>0</v>
      </c>
      <c r="G108" s="16">
        <v>48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56</v>
      </c>
      <c r="F109" s="16">
        <v>0</v>
      </c>
      <c r="G109" s="16">
        <v>48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56</v>
      </c>
      <c r="F110" s="16">
        <v>44</v>
      </c>
      <c r="G110" s="16">
        <v>44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44</v>
      </c>
      <c r="F111" s="16">
        <v>0</v>
      </c>
      <c r="G111" s="16">
        <v>44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28</v>
      </c>
      <c r="F112" s="16">
        <v>40</v>
      </c>
      <c r="G112" s="16">
        <v>40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28</v>
      </c>
      <c r="F113" s="16">
        <v>38</v>
      </c>
      <c r="G113" s="16">
        <v>25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26</v>
      </c>
      <c r="F114" s="16">
        <v>41</v>
      </c>
      <c r="G114" s="16">
        <v>30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46</v>
      </c>
      <c r="F115" s="16">
        <v>50</v>
      </c>
      <c r="G115" s="16">
        <v>39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46</v>
      </c>
      <c r="F116" s="16">
        <v>50</v>
      </c>
      <c r="G116" s="16">
        <v>39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37</v>
      </c>
      <c r="F117" s="16">
        <v>54</v>
      </c>
      <c r="G117" s="16">
        <v>39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15</v>
      </c>
      <c r="F118" s="16">
        <v>18</v>
      </c>
      <c r="G118" s="16">
        <v>13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25</v>
      </c>
      <c r="F119" s="16">
        <v>27</v>
      </c>
      <c r="G119" s="16">
        <v>34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46</v>
      </c>
      <c r="F120" s="16">
        <v>45</v>
      </c>
      <c r="G120" s="16">
        <v>41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51</v>
      </c>
      <c r="F121" s="16">
        <v>48</v>
      </c>
      <c r="G121" s="16">
        <v>42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48</v>
      </c>
      <c r="F122" s="16">
        <v>49</v>
      </c>
      <c r="G122" s="16">
        <v>43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48</v>
      </c>
      <c r="F123" s="16">
        <v>46</v>
      </c>
      <c r="G123" s="16">
        <v>42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16CE9-2A5A-48E6-8395-9B63CAA9F225}">
  <dimension ref="A1:P129"/>
  <sheetViews>
    <sheetView workbookViewId="0">
      <selection activeCell="H27" sqref="H27:N2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6">
      <c r="A1" s="16" t="s">
        <v>30</v>
      </c>
    </row>
    <row r="3" spans="1:16">
      <c r="A3" s="16" t="s">
        <v>94</v>
      </c>
      <c r="B3" s="16" t="s">
        <v>32</v>
      </c>
      <c r="C3" s="16" t="s">
        <v>33</v>
      </c>
      <c r="D3" s="16" t="s">
        <v>34</v>
      </c>
    </row>
    <row r="4" spans="1:16">
      <c r="A4" s="16" t="s">
        <v>35</v>
      </c>
      <c r="B4" s="16">
        <v>8212</v>
      </c>
      <c r="C4" s="16">
        <v>2679</v>
      </c>
      <c r="D4" s="16">
        <v>9886</v>
      </c>
    </row>
    <row r="5" spans="1:16">
      <c r="A5" s="16" t="s">
        <v>36</v>
      </c>
      <c r="B5" s="16">
        <v>40</v>
      </c>
      <c r="C5" s="16">
        <v>13</v>
      </c>
      <c r="D5" s="16">
        <v>48</v>
      </c>
    </row>
    <row r="6" spans="1:16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6" hidden="1">
      <c r="A7" s="17">
        <v>43982</v>
      </c>
      <c r="B7" s="17">
        <v>44012</v>
      </c>
      <c r="C7" s="16">
        <v>30</v>
      </c>
      <c r="D7" s="16" t="s">
        <v>42</v>
      </c>
      <c r="E7" s="16">
        <v>359</v>
      </c>
      <c r="F7" s="16">
        <v>657</v>
      </c>
      <c r="G7" s="16">
        <v>251</v>
      </c>
      <c r="H7" s="16">
        <f>Tabla6[[#This Row],[P1 + P4]]*VLOOKUP(MONTH(Tabla6[[#This Row],[Fecha final]]),Tabla20[#All],2,FALSE)</f>
        <v>0</v>
      </c>
      <c r="I7" s="16">
        <f>Tabla6[[#This Row],[P2 + P5]]*VLOOKUP(MONTH(Tabla6[[#This Row],[Fecha final]]),Tabla20[#All],3,FALSE)</f>
        <v>0</v>
      </c>
      <c r="J7" s="16">
        <f>(Tabla6[[#This Row],[P3 + P6]])*VLOOKUP(MONTH(Tabla6[[#This Row],[Fecha final]]),Tabla20[#All],4,FALSE)</f>
        <v>87.799800000000005</v>
      </c>
      <c r="K7" s="16">
        <f>Tabla6[[#This Row],[P1 + P4]]*VLOOKUP(MONTH(Tabla6[[#This Row],[Fecha final]]),Tabla20[#All],5,FALSE)</f>
        <v>359</v>
      </c>
      <c r="L7" s="16">
        <f>Tabla6[[#This Row],[P2 + P5]]*VLOOKUP(MONTH(Tabla6[[#This Row],[Fecha final]]),Tabla20[#All],6,FALSE)</f>
        <v>0</v>
      </c>
      <c r="M7" s="16">
        <f>Tabla6[[#This Row],[P3 + P6]]*VLOOKUP(MONTH(Tabla6[[#This Row],[Fecha final]]),Tabla20[#All],7,FALSE)</f>
        <v>163.2002</v>
      </c>
      <c r="N7" s="16">
        <f>YEAR(Tabla6[[#This Row],[Fecha final]])</f>
        <v>2020</v>
      </c>
      <c r="P7" s="16" t="b">
        <f>SUM(Tabla6[[#This Row],[P1 + P4]:[P3 + P6]])=SUM(Tabla6[[#This Row],[P1]:[P6]])</f>
        <v>0</v>
      </c>
    </row>
    <row r="8" spans="1:16" hidden="1">
      <c r="A8" s="17">
        <v>44012</v>
      </c>
      <c r="B8" s="17">
        <v>44045</v>
      </c>
      <c r="C8" s="16">
        <v>33</v>
      </c>
      <c r="D8" s="16" t="s">
        <v>42</v>
      </c>
      <c r="E8" s="16">
        <v>581</v>
      </c>
      <c r="F8" s="16">
        <v>1004</v>
      </c>
      <c r="G8" s="16">
        <v>341</v>
      </c>
      <c r="H8" s="16">
        <f>Tabla6[[#This Row],[P1 + P4]]*VLOOKUP(MONTH(Tabla6[[#This Row],[Fecha final]]),Tabla20[#All],2,FALSE)</f>
        <v>0</v>
      </c>
      <c r="I8" s="16">
        <f>Tabla6[[#This Row],[P2 + P5]]*VLOOKUP(MONTH(Tabla6[[#This Row],[Fecha final]]),Tabla20[#All],3,FALSE)</f>
        <v>0</v>
      </c>
      <c r="J8" s="16">
        <f>(Tabla6[[#This Row],[P3 + P6]])*VLOOKUP(MONTH(Tabla6[[#This Row],[Fecha final]]),Tabla20[#All],4,FALSE)</f>
        <v>114.4396</v>
      </c>
      <c r="K8" s="16">
        <f>Tabla6[[#This Row],[P1 + P4]]*VLOOKUP(MONTH(Tabla6[[#This Row],[Fecha final]]),Tabla20[#All],5,FALSE)</f>
        <v>581</v>
      </c>
      <c r="L8" s="16">
        <f>Tabla6[[#This Row],[P2 + P5]]*VLOOKUP(MONTH(Tabla6[[#This Row],[Fecha final]]),Tabla20[#All],6,FALSE)</f>
        <v>0</v>
      </c>
      <c r="M8" s="16">
        <f>Tabla6[[#This Row],[P3 + P6]]*VLOOKUP(MONTH(Tabla6[[#This Row],[Fecha final]]),Tabla20[#All],7,FALSE)</f>
        <v>226.56039999999999</v>
      </c>
      <c r="N8" s="16">
        <f>YEAR(Tabla6[[#This Row],[Fecha final]])</f>
        <v>2020</v>
      </c>
      <c r="P8" s="16" t="b">
        <f>SUM(Tabla6[[#This Row],[P1 + P4]:[P3 + P6]])=SUM(Tabla6[[#This Row],[P1]:[P6]])</f>
        <v>0</v>
      </c>
    </row>
    <row r="9" spans="1:16" hidden="1">
      <c r="A9" s="17">
        <v>44045</v>
      </c>
      <c r="B9" s="17">
        <v>44074</v>
      </c>
      <c r="C9" s="16">
        <v>29</v>
      </c>
      <c r="D9" s="16" t="s">
        <v>42</v>
      </c>
      <c r="E9" s="16">
        <v>513</v>
      </c>
      <c r="F9" s="16">
        <v>824</v>
      </c>
      <c r="G9" s="16">
        <v>284</v>
      </c>
      <c r="H9" s="16">
        <f>Tabla6[[#This Row],[P1 + P4]]*VLOOKUP(MONTH(Tabla6[[#This Row],[Fecha final]]),Tabla20[#All],2,FALSE)</f>
        <v>0</v>
      </c>
      <c r="I9" s="16">
        <f>Tabla6[[#This Row],[P2 + P5]]*VLOOKUP(MONTH(Tabla6[[#This Row],[Fecha final]]),Tabla20[#All],3,FALSE)</f>
        <v>0</v>
      </c>
      <c r="J9" s="16">
        <f>(Tabla6[[#This Row],[P3 + P6]])*VLOOKUP(MONTH(Tabla6[[#This Row],[Fecha final]]),Tabla20[#All],4,FALSE)</f>
        <v>95.310400000000001</v>
      </c>
      <c r="K9" s="16">
        <f>Tabla6[[#This Row],[P1 + P4]]*VLOOKUP(MONTH(Tabla6[[#This Row],[Fecha final]]),Tabla20[#All],5,FALSE)</f>
        <v>513</v>
      </c>
      <c r="L9" s="16">
        <f>Tabla6[[#This Row],[P2 + P5]]*VLOOKUP(MONTH(Tabla6[[#This Row],[Fecha final]]),Tabla20[#All],6,FALSE)</f>
        <v>0</v>
      </c>
      <c r="M9" s="16">
        <f>Tabla6[[#This Row],[P3 + P6]]*VLOOKUP(MONTH(Tabla6[[#This Row],[Fecha final]]),Tabla20[#All],7,FALSE)</f>
        <v>188.68959999999998</v>
      </c>
      <c r="N9" s="16">
        <f>YEAR(Tabla6[[#This Row],[Fecha final]])</f>
        <v>2020</v>
      </c>
      <c r="P9" s="16" t="b">
        <f>SUM(Tabla6[[#This Row],[P1 + P4]:[P3 + P6]])=SUM(Tabla6[[#This Row],[P1]:[P6]])</f>
        <v>0</v>
      </c>
    </row>
    <row r="10" spans="1:16" hidden="1">
      <c r="A10" s="17">
        <v>44074</v>
      </c>
      <c r="B10" s="17">
        <v>44104</v>
      </c>
      <c r="C10" s="16">
        <v>30</v>
      </c>
      <c r="D10" s="16" t="s">
        <v>42</v>
      </c>
      <c r="E10" s="16">
        <v>376</v>
      </c>
      <c r="F10" s="16">
        <v>862</v>
      </c>
      <c r="G10" s="16">
        <v>275</v>
      </c>
      <c r="H10" s="16">
        <f>Tabla6[[#This Row],[P1 + P4]]*VLOOKUP(MONTH(Tabla6[[#This Row],[Fecha final]]),Tabla20[#All],2,FALSE)</f>
        <v>0</v>
      </c>
      <c r="I10" s="16">
        <f>Tabla6[[#This Row],[P2 + P5]]*VLOOKUP(MONTH(Tabla6[[#This Row],[Fecha final]]),Tabla20[#All],3,FALSE)</f>
        <v>0</v>
      </c>
      <c r="J10" s="16">
        <f>(Tabla6[[#This Row],[P3 + P6]])*VLOOKUP(MONTH(Tabla6[[#This Row],[Fecha final]]),Tabla20[#All],4,FALSE)</f>
        <v>96.194999999999993</v>
      </c>
      <c r="K10" s="16">
        <f>Tabla6[[#This Row],[P1 + P4]]*VLOOKUP(MONTH(Tabla6[[#This Row],[Fecha final]]),Tabla20[#All],5,FALSE)</f>
        <v>376</v>
      </c>
      <c r="L10" s="16">
        <f>Tabla6[[#This Row],[P2 + P5]]*VLOOKUP(MONTH(Tabla6[[#This Row],[Fecha final]]),Tabla20[#All],6,FALSE)</f>
        <v>0</v>
      </c>
      <c r="M10" s="16">
        <f>Tabla6[[#This Row],[P3 + P6]]*VLOOKUP(MONTH(Tabla6[[#This Row],[Fecha final]]),Tabla20[#All],7,FALSE)</f>
        <v>178.80500000000001</v>
      </c>
      <c r="N10" s="16">
        <f>YEAR(Tabla6[[#This Row],[Fecha final]])</f>
        <v>2020</v>
      </c>
      <c r="P10" s="16" t="b">
        <f>SUM(Tabla6[[#This Row],[P1 + P4]:[P3 + P6]])=SUM(Tabla6[[#This Row],[P1]:[P6]])</f>
        <v>0</v>
      </c>
    </row>
    <row r="11" spans="1:16" hidden="1">
      <c r="A11" s="17">
        <v>44104</v>
      </c>
      <c r="B11" s="17">
        <v>44135</v>
      </c>
      <c r="C11" s="16">
        <v>31</v>
      </c>
      <c r="D11" s="16" t="s">
        <v>42</v>
      </c>
      <c r="E11" s="16">
        <v>407</v>
      </c>
      <c r="F11" s="16">
        <v>1145</v>
      </c>
      <c r="G11" s="16">
        <v>336</v>
      </c>
      <c r="H11" s="16">
        <f>Tabla6[[#This Row],[P1 + P4]]*VLOOKUP(MONTH(Tabla6[[#This Row],[Fecha final]]),Tabla20[#All],2,FALSE)</f>
        <v>0</v>
      </c>
      <c r="I11" s="16">
        <f>Tabla6[[#This Row],[P2 + P5]]*VLOOKUP(MONTH(Tabla6[[#This Row],[Fecha final]]),Tabla20[#All],3,FALSE)</f>
        <v>0</v>
      </c>
      <c r="J11" s="16">
        <f>(Tabla6[[#This Row],[P3 + P6]])*VLOOKUP(MONTH(Tabla6[[#This Row],[Fecha final]]),Tabla20[#All],4,FALSE)</f>
        <v>0</v>
      </c>
      <c r="K11" s="16">
        <f>Tabla6[[#This Row],[P1 + P4]]*VLOOKUP(MONTH(Tabla6[[#This Row],[Fecha final]]),Tabla20[#All],5,FALSE)</f>
        <v>407</v>
      </c>
      <c r="L11" s="16">
        <f>Tabla6[[#This Row],[P2 + P5]]*VLOOKUP(MONTH(Tabla6[[#This Row],[Fecha final]]),Tabla20[#All],6,FALSE)</f>
        <v>1145</v>
      </c>
      <c r="M11" s="16">
        <f>Tabla6[[#This Row],[P3 + P6]]*VLOOKUP(MONTH(Tabla6[[#This Row],[Fecha final]]),Tabla20[#All],7,FALSE)</f>
        <v>336</v>
      </c>
      <c r="N11" s="16">
        <f>YEAR(Tabla6[[#This Row],[Fecha final]])</f>
        <v>2020</v>
      </c>
      <c r="P11" s="16" t="b">
        <f>SUM(Tabla6[[#This Row],[P1 + P4]:[P3 + P6]])=SUM(Tabla6[[#This Row],[P1]:[P6]])</f>
        <v>1</v>
      </c>
    </row>
    <row r="12" spans="1:16" hidden="1">
      <c r="A12" s="17">
        <v>44135</v>
      </c>
      <c r="B12" s="17">
        <v>44165</v>
      </c>
      <c r="C12" s="16">
        <v>30</v>
      </c>
      <c r="D12" s="16" t="s">
        <v>42</v>
      </c>
      <c r="E12" s="16">
        <v>277</v>
      </c>
      <c r="F12" s="16">
        <v>1407</v>
      </c>
      <c r="G12" s="16">
        <v>412</v>
      </c>
      <c r="H12" s="16">
        <f>Tabla6[[#This Row],[P1 + P4]]*VLOOKUP(MONTH(Tabla6[[#This Row],[Fecha final]]),Tabla20[#All],2,FALSE)</f>
        <v>0</v>
      </c>
      <c r="I12" s="16">
        <f>Tabla6[[#This Row],[P2 + P5]]*VLOOKUP(MONTH(Tabla6[[#This Row],[Fecha final]]),Tabla20[#All],3,FALSE)</f>
        <v>1407</v>
      </c>
      <c r="J12" s="16">
        <f>(Tabla6[[#This Row],[P3 + P6]])*VLOOKUP(MONTH(Tabla6[[#This Row],[Fecha final]]),Tabla20[#All],4,FALSE)</f>
        <v>114.0416</v>
      </c>
      <c r="K12" s="16">
        <f>Tabla6[[#This Row],[P1 + P4]]*VLOOKUP(MONTH(Tabla6[[#This Row],[Fecha final]]),Tabla20[#All],5,FALSE)</f>
        <v>0</v>
      </c>
      <c r="L12" s="16">
        <f>Tabla6[[#This Row],[P2 + P5]]*VLOOKUP(MONTH(Tabla6[[#This Row],[Fecha final]]),Tabla20[#All],6,FALSE)</f>
        <v>0</v>
      </c>
      <c r="M12" s="16">
        <f>Tabla6[[#This Row],[P3 + P6]]*VLOOKUP(MONTH(Tabla6[[#This Row],[Fecha final]]),Tabla20[#All],7,FALSE)</f>
        <v>297.95839999999998</v>
      </c>
      <c r="N12" s="16">
        <f>YEAR(Tabla6[[#This Row],[Fecha final]])</f>
        <v>2020</v>
      </c>
      <c r="P12" s="16" t="b">
        <f>SUM(Tabla6[[#This Row],[P1 + P4]:[P3 + P6]])=SUM(Tabla6[[#This Row],[P1]:[P6]])</f>
        <v>0</v>
      </c>
    </row>
    <row r="13" spans="1:16" hidden="1">
      <c r="A13" s="17">
        <v>44165</v>
      </c>
      <c r="B13" s="17">
        <v>44196</v>
      </c>
      <c r="C13" s="16">
        <v>31</v>
      </c>
      <c r="D13" s="16" t="s">
        <v>42</v>
      </c>
      <c r="E13" s="16">
        <v>281</v>
      </c>
      <c r="F13" s="16">
        <v>1769</v>
      </c>
      <c r="G13" s="16">
        <v>472</v>
      </c>
      <c r="H13" s="16">
        <f>Tabla6[[#This Row],[P1 + P4]]*VLOOKUP(MONTH(Tabla6[[#This Row],[Fecha final]]),Tabla20[#All],2,FALSE)</f>
        <v>281</v>
      </c>
      <c r="I13" s="16">
        <f>Tabla6[[#This Row],[P2 + P5]]*VLOOKUP(MONTH(Tabla6[[#This Row],[Fecha final]]),Tabla20[#All],3,FALSE)</f>
        <v>1769</v>
      </c>
      <c r="J13" s="16">
        <f>(Tabla6[[#This Row],[P3 + P6]])*VLOOKUP(MONTH(Tabla6[[#This Row],[Fecha final]]),Tabla20[#All],4,FALSE)</f>
        <v>0</v>
      </c>
      <c r="K13" s="16">
        <f>Tabla6[[#This Row],[P1 + P4]]*VLOOKUP(MONTH(Tabla6[[#This Row],[Fecha final]]),Tabla20[#All],5,FALSE)</f>
        <v>0</v>
      </c>
      <c r="L13" s="16">
        <f>Tabla6[[#This Row],[P2 + P5]]*VLOOKUP(MONTH(Tabla6[[#This Row],[Fecha final]]),Tabla20[#All],6,FALSE)</f>
        <v>0</v>
      </c>
      <c r="M13" s="16">
        <f>Tabla6[[#This Row],[P3 + P6]]*VLOOKUP(MONTH(Tabla6[[#This Row],[Fecha final]]),Tabla20[#All],7,FALSE)</f>
        <v>472</v>
      </c>
      <c r="N13" s="16">
        <f>YEAR(Tabla6[[#This Row],[Fecha final]])</f>
        <v>2020</v>
      </c>
      <c r="P13" s="16" t="b">
        <f>SUM(Tabla6[[#This Row],[P1 + P4]:[P3 + P6]])=SUM(Tabla6[[#This Row],[P1]:[P6]])</f>
        <v>1</v>
      </c>
    </row>
    <row r="14" spans="1:16" hidden="1">
      <c r="A14" s="17">
        <v>44196</v>
      </c>
      <c r="B14" s="17">
        <v>44227</v>
      </c>
      <c r="C14" s="16">
        <v>31</v>
      </c>
      <c r="D14" s="16" t="s">
        <v>42</v>
      </c>
      <c r="E14" s="16">
        <v>256</v>
      </c>
      <c r="F14" s="16">
        <v>2329</v>
      </c>
      <c r="G14" s="16">
        <v>504</v>
      </c>
      <c r="H14" s="16">
        <f>Tabla6[[#This Row],[P1 + P4]]*VLOOKUP(MONTH(Tabla6[[#This Row],[Fecha final]]),Tabla20[#All],2,FALSE)</f>
        <v>256</v>
      </c>
      <c r="I14" s="16">
        <f>Tabla6[[#This Row],[P2 + P5]]*VLOOKUP(MONTH(Tabla6[[#This Row],[Fecha final]]),Tabla20[#All],3,FALSE)</f>
        <v>2329</v>
      </c>
      <c r="J14" s="16">
        <f>(Tabla6[[#This Row],[P3 + P6]])*VLOOKUP(MONTH(Tabla6[[#This Row],[Fecha final]]),Tabla20[#All],4,FALSE)</f>
        <v>0</v>
      </c>
      <c r="K14" s="16">
        <f>Tabla6[[#This Row],[P1 + P4]]*VLOOKUP(MONTH(Tabla6[[#This Row],[Fecha final]]),Tabla20[#All],5,FALSE)</f>
        <v>0</v>
      </c>
      <c r="L14" s="16">
        <f>Tabla6[[#This Row],[P2 + P5]]*VLOOKUP(MONTH(Tabla6[[#This Row],[Fecha final]]),Tabla20[#All],6,FALSE)</f>
        <v>0</v>
      </c>
      <c r="M14" s="16">
        <f>Tabla6[[#This Row],[P3 + P6]]*VLOOKUP(MONTH(Tabla6[[#This Row],[Fecha final]]),Tabla20[#All],7,FALSE)</f>
        <v>504</v>
      </c>
      <c r="N14" s="16">
        <f>YEAR(Tabla6[[#This Row],[Fecha final]])</f>
        <v>2021</v>
      </c>
      <c r="P14" s="16" t="b">
        <f>SUM(Tabla6[[#This Row],[P1 + P4]:[P3 + P6]])=SUM(Tabla6[[#This Row],[P1]:[P6]])</f>
        <v>1</v>
      </c>
    </row>
    <row r="15" spans="1:16" hidden="1">
      <c r="A15" s="17">
        <v>44227</v>
      </c>
      <c r="B15" s="17">
        <v>44255</v>
      </c>
      <c r="C15" s="16">
        <v>28</v>
      </c>
      <c r="D15" s="16" t="s">
        <v>42</v>
      </c>
      <c r="E15" s="16">
        <v>230</v>
      </c>
      <c r="F15" s="16">
        <v>1835</v>
      </c>
      <c r="G15" s="16">
        <v>418</v>
      </c>
      <c r="H15" s="16">
        <f>Tabla6[[#This Row],[P1 + P4]]*VLOOKUP(MONTH(Tabla6[[#This Row],[Fecha final]]),Tabla20[#All],2,FALSE)</f>
        <v>230</v>
      </c>
      <c r="I15" s="16">
        <f>Tabla6[[#This Row],[P2 + P5]]*VLOOKUP(MONTH(Tabla6[[#This Row],[Fecha final]]),Tabla20[#All],3,FALSE)</f>
        <v>1835</v>
      </c>
      <c r="J15" s="16">
        <f>(Tabla6[[#This Row],[P3 + P6]])*VLOOKUP(MONTH(Tabla6[[#This Row],[Fecha final]]),Tabla20[#All],4,FALSE)</f>
        <v>0</v>
      </c>
      <c r="K15" s="16">
        <f>Tabla6[[#This Row],[P1 + P4]]*VLOOKUP(MONTH(Tabla6[[#This Row],[Fecha final]]),Tabla20[#All],5,FALSE)</f>
        <v>0</v>
      </c>
      <c r="L15" s="16">
        <f>Tabla6[[#This Row],[P2 + P5]]*VLOOKUP(MONTH(Tabla6[[#This Row],[Fecha final]]),Tabla20[#All],6,FALSE)</f>
        <v>0</v>
      </c>
      <c r="M15" s="16">
        <f>Tabla6[[#This Row],[P3 + P6]]*VLOOKUP(MONTH(Tabla6[[#This Row],[Fecha final]]),Tabla20[#All],7,FALSE)</f>
        <v>418</v>
      </c>
      <c r="N15" s="16">
        <f>YEAR(Tabla6[[#This Row],[Fecha final]])</f>
        <v>2021</v>
      </c>
      <c r="P15" s="16" t="b">
        <f>SUM(Tabla6[[#This Row],[P1 + P4]:[P3 + P6]])=SUM(Tabla6[[#This Row],[P1]:[P6]])</f>
        <v>1</v>
      </c>
    </row>
    <row r="16" spans="1:16" hidden="1">
      <c r="A16" s="17">
        <v>44255</v>
      </c>
      <c r="B16" s="17">
        <v>44286</v>
      </c>
      <c r="C16" s="16">
        <v>31</v>
      </c>
      <c r="D16" s="16" t="s">
        <v>42</v>
      </c>
      <c r="E16" s="16">
        <v>276</v>
      </c>
      <c r="F16" s="16">
        <v>1635</v>
      </c>
      <c r="G16" s="16">
        <v>420</v>
      </c>
      <c r="H16" s="16">
        <f>Tabla6[[#This Row],[P1 + P4]]*VLOOKUP(MONTH(Tabla6[[#This Row],[Fecha final]]),Tabla20[#All],2,FALSE)</f>
        <v>0</v>
      </c>
      <c r="I16" s="16">
        <f>Tabla6[[#This Row],[P2 + P5]]*VLOOKUP(MONTH(Tabla6[[#This Row],[Fecha final]]),Tabla20[#All],3,FALSE)</f>
        <v>1635</v>
      </c>
      <c r="J16" s="16">
        <f>(Tabla6[[#This Row],[P3 + P6]])*VLOOKUP(MONTH(Tabla6[[#This Row],[Fecha final]]),Tabla20[#All],4,FALSE)</f>
        <v>125.91600000000001</v>
      </c>
      <c r="K16" s="16">
        <f>Tabla6[[#This Row],[P1 + P4]]*VLOOKUP(MONTH(Tabla6[[#This Row],[Fecha final]]),Tabla20[#All],5,FALSE)</f>
        <v>0</v>
      </c>
      <c r="L16" s="16">
        <f>Tabla6[[#This Row],[P2 + P5]]*VLOOKUP(MONTH(Tabla6[[#This Row],[Fecha final]]),Tabla20[#All],6,FALSE)</f>
        <v>0</v>
      </c>
      <c r="M16" s="16">
        <f>Tabla6[[#This Row],[P3 + P6]]*VLOOKUP(MONTH(Tabla6[[#This Row],[Fecha final]]),Tabla20[#All],7,FALSE)</f>
        <v>294.084</v>
      </c>
      <c r="N16" s="16">
        <f>YEAR(Tabla6[[#This Row],[Fecha final]])</f>
        <v>2021</v>
      </c>
      <c r="P16" s="16" t="b">
        <f>SUM(Tabla6[[#This Row],[P1 + P4]:[P3 + P6]])=SUM(Tabla6[[#This Row],[P1]:[P6]])</f>
        <v>0</v>
      </c>
    </row>
    <row r="17" spans="1:16" hidden="1">
      <c r="A17" s="17">
        <v>44286</v>
      </c>
      <c r="B17" s="17">
        <v>44316</v>
      </c>
      <c r="C17" s="16">
        <v>30</v>
      </c>
      <c r="D17" s="16" t="s">
        <v>42</v>
      </c>
      <c r="E17" s="16">
        <v>556</v>
      </c>
      <c r="F17" s="16">
        <v>1094</v>
      </c>
      <c r="G17" s="16">
        <v>313</v>
      </c>
      <c r="H17" s="16">
        <f>Tabla6[[#This Row],[P1 + P4]]*VLOOKUP(MONTH(Tabla6[[#This Row],[Fecha final]]),Tabla20[#All],2,FALSE)</f>
        <v>0</v>
      </c>
      <c r="I17" s="16">
        <f>Tabla6[[#This Row],[P2 + P5]]*VLOOKUP(MONTH(Tabla6[[#This Row],[Fecha final]]),Tabla20[#All],3,FALSE)</f>
        <v>0</v>
      </c>
      <c r="J17" s="16">
        <f>(Tabla6[[#This Row],[P3 + P6]])*VLOOKUP(MONTH(Tabla6[[#This Row],[Fecha final]]),Tabla20[#All],4,FALSE)</f>
        <v>0</v>
      </c>
      <c r="K17" s="16">
        <f>Tabla6[[#This Row],[P1 + P4]]*VLOOKUP(MONTH(Tabla6[[#This Row],[Fecha final]]),Tabla20[#All],5,FALSE)</f>
        <v>556</v>
      </c>
      <c r="L17" s="16">
        <f>Tabla6[[#This Row],[P2 + P5]]*VLOOKUP(MONTH(Tabla6[[#This Row],[Fecha final]]),Tabla20[#All],6,FALSE)</f>
        <v>1094</v>
      </c>
      <c r="M17" s="16">
        <f>Tabla6[[#This Row],[P3 + P6]]*VLOOKUP(MONTH(Tabla6[[#This Row],[Fecha final]]),Tabla20[#All],7,FALSE)</f>
        <v>313</v>
      </c>
      <c r="N17" s="16">
        <f>YEAR(Tabla6[[#This Row],[Fecha final]])</f>
        <v>2021</v>
      </c>
      <c r="P17" s="16" t="b">
        <f>SUM(Tabla6[[#This Row],[P1 + P4]:[P3 + P6]])=SUM(Tabla6[[#This Row],[P1]:[P6]])</f>
        <v>1</v>
      </c>
    </row>
    <row r="18" spans="1:16" hidden="1">
      <c r="A18" s="17">
        <v>44316</v>
      </c>
      <c r="B18" s="17">
        <v>44347</v>
      </c>
      <c r="C18" s="16">
        <v>31</v>
      </c>
      <c r="D18" s="16" t="s">
        <v>42</v>
      </c>
      <c r="E18" s="16">
        <v>302</v>
      </c>
      <c r="F18" s="16">
        <v>747</v>
      </c>
      <c r="G18" s="16">
        <v>328</v>
      </c>
      <c r="H18" s="16">
        <f>Tabla6[[#This Row],[P1 + P4]]*VLOOKUP(MONTH(Tabla6[[#This Row],[Fecha final]]),Tabla20[#All],2,FALSE)</f>
        <v>0</v>
      </c>
      <c r="I18" s="16">
        <f>Tabla6[[#This Row],[P2 + P5]]*VLOOKUP(MONTH(Tabla6[[#This Row],[Fecha final]]),Tabla20[#All],3,FALSE)</f>
        <v>0</v>
      </c>
      <c r="J18" s="16">
        <f>(Tabla6[[#This Row],[P3 + P6]])*VLOOKUP(MONTH(Tabla6[[#This Row],[Fecha final]]),Tabla20[#All],4,FALSE)</f>
        <v>0</v>
      </c>
      <c r="K18" s="16">
        <f>Tabla6[[#This Row],[P1 + P4]]*VLOOKUP(MONTH(Tabla6[[#This Row],[Fecha final]]),Tabla20[#All],5,FALSE)</f>
        <v>302</v>
      </c>
      <c r="L18" s="16">
        <f>Tabla6[[#This Row],[P2 + P5]]*VLOOKUP(MONTH(Tabla6[[#This Row],[Fecha final]]),Tabla20[#All],6,FALSE)</f>
        <v>747</v>
      </c>
      <c r="M18" s="16">
        <f>Tabla6[[#This Row],[P3 + P6]]*VLOOKUP(MONTH(Tabla6[[#This Row],[Fecha final]]),Tabla20[#All],7,FALSE)</f>
        <v>328</v>
      </c>
      <c r="N18" s="16">
        <f>YEAR(Tabla6[[#This Row],[Fecha final]])</f>
        <v>2021</v>
      </c>
      <c r="P18" s="16" t="b">
        <f>SUM(Tabla6[[#This Row],[P1 + P4]:[P3 + P6]])=SUM(Tabla6[[#This Row],[P1]:[P6]])</f>
        <v>1</v>
      </c>
    </row>
    <row r="19" spans="1:16" hidden="1">
      <c r="A19" s="17">
        <v>44347</v>
      </c>
      <c r="B19" s="17">
        <v>44377</v>
      </c>
      <c r="C19" s="16">
        <v>30</v>
      </c>
      <c r="D19" s="16" t="s">
        <v>42</v>
      </c>
      <c r="E19" s="16">
        <v>446</v>
      </c>
      <c r="F19" s="16">
        <v>0</v>
      </c>
      <c r="G19" s="16">
        <v>1044</v>
      </c>
      <c r="H19" s="16">
        <f>Tabla6[[#This Row],[P1 + P4]]*VLOOKUP(MONTH(Tabla6[[#This Row],[Fecha final]]),Tabla20[#All],2,FALSE)</f>
        <v>0</v>
      </c>
      <c r="I19" s="16">
        <f>Tabla6[[#This Row],[P2 + P5]]*VLOOKUP(MONTH(Tabla6[[#This Row],[Fecha final]]),Tabla20[#All],3,FALSE)</f>
        <v>0</v>
      </c>
      <c r="J19" s="16">
        <f>(Tabla6[[#This Row],[P3 + P6]])*VLOOKUP(MONTH(Tabla6[[#This Row],[Fecha final]]),Tabla20[#All],4,FALSE)</f>
        <v>365.19119999999998</v>
      </c>
      <c r="K19" s="16">
        <f>Tabla6[[#This Row],[P1 + P4]]*VLOOKUP(MONTH(Tabla6[[#This Row],[Fecha final]]),Tabla20[#All],5,FALSE)</f>
        <v>446</v>
      </c>
      <c r="L19" s="16">
        <f>Tabla6[[#This Row],[P2 + P5]]*VLOOKUP(MONTH(Tabla6[[#This Row],[Fecha final]]),Tabla20[#All],6,FALSE)</f>
        <v>0</v>
      </c>
      <c r="M19" s="16">
        <f>Tabla6[[#This Row],[P3 + P6]]*VLOOKUP(MONTH(Tabla6[[#This Row],[Fecha final]]),Tabla20[#All],7,FALSE)</f>
        <v>678.80880000000002</v>
      </c>
      <c r="N19" s="16">
        <f>YEAR(Tabla6[[#This Row],[Fecha final]])</f>
        <v>2021</v>
      </c>
      <c r="P19" s="16" t="b">
        <f>SUM(Tabla6[[#This Row],[P1 + P4]:[P3 + P6]])=SUM(Tabla6[[#This Row],[P1]:[P6]])</f>
        <v>1</v>
      </c>
    </row>
    <row r="20" spans="1:16" hidden="1">
      <c r="A20" s="17">
        <v>44377</v>
      </c>
      <c r="B20" s="17">
        <v>44408</v>
      </c>
      <c r="C20" s="16">
        <v>31</v>
      </c>
      <c r="D20" s="16" t="s">
        <v>42</v>
      </c>
      <c r="E20" s="16">
        <v>708</v>
      </c>
      <c r="F20" s="16">
        <v>484</v>
      </c>
      <c r="G20" s="16">
        <v>376</v>
      </c>
      <c r="H20" s="16">
        <f>Tabla6[[#This Row],[P1 + P4]]*VLOOKUP(MONTH(Tabla6[[#This Row],[Fecha final]]),Tabla20[#All],2,FALSE)</f>
        <v>708</v>
      </c>
      <c r="I20" s="16">
        <f>Tabla6[[#This Row],[P2 + P5]]*VLOOKUP(MONTH(Tabla6[[#This Row],[Fecha final]]),Tabla20[#All],3,FALSE)</f>
        <v>484</v>
      </c>
      <c r="J20" s="16">
        <f>(Tabla6[[#This Row],[P3 + P6]])*VLOOKUP(MONTH(Tabla6[[#This Row],[Fecha final]]),Tabla20[#All],4,FALSE)</f>
        <v>0</v>
      </c>
      <c r="K20" s="16">
        <f>Tabla6[[#This Row],[P1 + P4]]*VLOOKUP(MONTH(Tabla6[[#This Row],[Fecha final]]),Tabla20[#All],5,FALSE)</f>
        <v>0</v>
      </c>
      <c r="L20" s="16">
        <f>Tabla6[[#This Row],[P2 + P5]]*VLOOKUP(MONTH(Tabla6[[#This Row],[Fecha final]]),Tabla20[#All],6,FALSE)</f>
        <v>0</v>
      </c>
      <c r="M20" s="16">
        <f>Tabla6[[#This Row],[P3 + P6]]*VLOOKUP(MONTH(Tabla6[[#This Row],[Fecha final]]),Tabla20[#All],7,FALSE)</f>
        <v>376</v>
      </c>
      <c r="N20" s="16">
        <f>YEAR(Tabla6[[#This Row],[Fecha final]])</f>
        <v>2021</v>
      </c>
      <c r="P20" s="16" t="b">
        <f>SUM(Tabla6[[#This Row],[P1 + P4]:[P3 + P6]])=SUM(Tabla6[[#This Row],[P1]:[P6]])</f>
        <v>1</v>
      </c>
    </row>
    <row r="21" spans="1:16" hidden="1">
      <c r="A21" s="17">
        <v>44408</v>
      </c>
      <c r="B21" s="17">
        <v>44439</v>
      </c>
      <c r="C21" s="16">
        <v>31</v>
      </c>
      <c r="D21" s="16" t="s">
        <v>42</v>
      </c>
      <c r="E21" s="16">
        <v>460</v>
      </c>
      <c r="F21" s="16">
        <v>0</v>
      </c>
      <c r="G21" s="16">
        <v>1014</v>
      </c>
      <c r="H21" s="16">
        <f>Tabla6[[#This Row],[P1 + P4]]*VLOOKUP(MONTH(Tabla6[[#This Row],[Fecha final]]),Tabla20[#All],2,FALSE)</f>
        <v>0</v>
      </c>
      <c r="I21" s="16">
        <f>Tabla6[[#This Row],[P2 + P5]]*VLOOKUP(MONTH(Tabla6[[#This Row],[Fecha final]]),Tabla20[#All],3,FALSE)</f>
        <v>0</v>
      </c>
      <c r="J21" s="16">
        <f>(Tabla6[[#This Row],[P3 + P6]])*VLOOKUP(MONTH(Tabla6[[#This Row],[Fecha final]]),Tabla20[#All],4,FALSE)</f>
        <v>340.29840000000002</v>
      </c>
      <c r="K21" s="16">
        <f>Tabla6[[#This Row],[P1 + P4]]*VLOOKUP(MONTH(Tabla6[[#This Row],[Fecha final]]),Tabla20[#All],5,FALSE)</f>
        <v>460</v>
      </c>
      <c r="L21" s="16">
        <f>Tabla6[[#This Row],[P2 + P5]]*VLOOKUP(MONTH(Tabla6[[#This Row],[Fecha final]]),Tabla20[#All],6,FALSE)</f>
        <v>0</v>
      </c>
      <c r="M21" s="16">
        <f>Tabla6[[#This Row],[P3 + P6]]*VLOOKUP(MONTH(Tabla6[[#This Row],[Fecha final]]),Tabla20[#All],7,FALSE)</f>
        <v>673.70159999999998</v>
      </c>
      <c r="N21" s="16">
        <f>YEAR(Tabla6[[#This Row],[Fecha final]])</f>
        <v>2021</v>
      </c>
      <c r="P21" s="16" t="b">
        <f>SUM(Tabla6[[#This Row],[P1 + P4]:[P3 + P6]])=SUM(Tabla6[[#This Row],[P1]:[P6]])</f>
        <v>1</v>
      </c>
    </row>
    <row r="22" spans="1:16" hidden="1">
      <c r="A22" s="17">
        <v>44439</v>
      </c>
      <c r="B22" s="17">
        <v>44469</v>
      </c>
      <c r="C22" s="16">
        <v>30</v>
      </c>
      <c r="D22" s="16" t="s">
        <v>42</v>
      </c>
      <c r="E22" s="16">
        <v>484</v>
      </c>
      <c r="F22" s="16">
        <v>0</v>
      </c>
      <c r="G22" s="16">
        <v>1146</v>
      </c>
      <c r="H22" s="16">
        <f>Tabla6[[#This Row],[P1 + P4]]*VLOOKUP(MONTH(Tabla6[[#This Row],[Fecha final]]),Tabla20[#All],2,FALSE)</f>
        <v>0</v>
      </c>
      <c r="I22" s="16">
        <f>Tabla6[[#This Row],[P2 + P5]]*VLOOKUP(MONTH(Tabla6[[#This Row],[Fecha final]]),Tabla20[#All],3,FALSE)</f>
        <v>0</v>
      </c>
      <c r="J22" s="16">
        <f>(Tabla6[[#This Row],[P3 + P6]])*VLOOKUP(MONTH(Tabla6[[#This Row],[Fecha final]]),Tabla20[#All],4,FALSE)</f>
        <v>400.87079999999997</v>
      </c>
      <c r="K22" s="16">
        <f>Tabla6[[#This Row],[P1 + P4]]*VLOOKUP(MONTH(Tabla6[[#This Row],[Fecha final]]),Tabla20[#All],5,FALSE)</f>
        <v>484</v>
      </c>
      <c r="L22" s="16">
        <f>Tabla6[[#This Row],[P2 + P5]]*VLOOKUP(MONTH(Tabla6[[#This Row],[Fecha final]]),Tabla20[#All],6,FALSE)</f>
        <v>0</v>
      </c>
      <c r="M22" s="16">
        <f>Tabla6[[#This Row],[P3 + P6]]*VLOOKUP(MONTH(Tabla6[[#This Row],[Fecha final]]),Tabla20[#All],7,FALSE)</f>
        <v>745.12919999999997</v>
      </c>
      <c r="N22" s="16">
        <f>YEAR(Tabla6[[#This Row],[Fecha final]])</f>
        <v>2021</v>
      </c>
      <c r="P22" s="16" t="b">
        <f>SUM(Tabla6[[#This Row],[P1 + P4]:[P3 + P6]])=SUM(Tabla6[[#This Row],[P1]:[P6]])</f>
        <v>1</v>
      </c>
    </row>
    <row r="23" spans="1:16" hidden="1">
      <c r="A23" s="17">
        <v>44469</v>
      </c>
      <c r="B23" s="17">
        <v>44500</v>
      </c>
      <c r="C23" s="16">
        <v>31</v>
      </c>
      <c r="D23" s="16" t="s">
        <v>42</v>
      </c>
      <c r="E23" s="16">
        <v>626</v>
      </c>
      <c r="F23" s="16">
        <v>348</v>
      </c>
      <c r="G23" s="16">
        <v>301</v>
      </c>
      <c r="H23" s="16">
        <f>Tabla6[[#This Row],[P1 + P4]]*VLOOKUP(MONTH(Tabla6[[#This Row],[Fecha final]]),Tabla20[#All],2,FALSE)</f>
        <v>0</v>
      </c>
      <c r="I23" s="16">
        <f>Tabla6[[#This Row],[P2 + P5]]*VLOOKUP(MONTH(Tabla6[[#This Row],[Fecha final]]),Tabla20[#All],3,FALSE)</f>
        <v>0</v>
      </c>
      <c r="J23" s="16">
        <f>(Tabla6[[#This Row],[P3 + P6]])*VLOOKUP(MONTH(Tabla6[[#This Row],[Fecha final]]),Tabla20[#All],4,FALSE)</f>
        <v>0</v>
      </c>
      <c r="K23" s="16">
        <f>Tabla6[[#This Row],[P1 + P4]]*VLOOKUP(MONTH(Tabla6[[#This Row],[Fecha final]]),Tabla20[#All],5,FALSE)</f>
        <v>626</v>
      </c>
      <c r="L23" s="16">
        <f>Tabla6[[#This Row],[P2 + P5]]*VLOOKUP(MONTH(Tabla6[[#This Row],[Fecha final]]),Tabla20[#All],6,FALSE)</f>
        <v>348</v>
      </c>
      <c r="M23" s="16">
        <f>Tabla6[[#This Row],[P3 + P6]]*VLOOKUP(MONTH(Tabla6[[#This Row],[Fecha final]]),Tabla20[#All],7,FALSE)</f>
        <v>301</v>
      </c>
      <c r="N23" s="16">
        <f>YEAR(Tabla6[[#This Row],[Fecha final]])</f>
        <v>2021</v>
      </c>
      <c r="P23" s="16" t="b">
        <f>SUM(Tabla6[[#This Row],[P1 + P4]:[P3 + P6]])=SUM(Tabla6[[#This Row],[P1]:[P6]])</f>
        <v>1</v>
      </c>
    </row>
    <row r="24" spans="1:16" hidden="1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1126</v>
      </c>
      <c r="G24" s="16">
        <v>1098</v>
      </c>
      <c r="H24" s="16">
        <f>Tabla6[[#This Row],[P1 + P4]]*VLOOKUP(MONTH(Tabla6[[#This Row],[Fecha final]]),Tabla20[#All],2,FALSE)</f>
        <v>0</v>
      </c>
      <c r="I24" s="16">
        <f>Tabla6[[#This Row],[P2 + P5]]*VLOOKUP(MONTH(Tabla6[[#This Row],[Fecha final]]),Tabla20[#All],3,FALSE)</f>
        <v>1126</v>
      </c>
      <c r="J24" s="16">
        <f>(Tabla6[[#This Row],[P3 + P6]])*VLOOKUP(MONTH(Tabla6[[#This Row],[Fecha final]]),Tabla20[#All],4,FALSE)</f>
        <v>303.9264</v>
      </c>
      <c r="K24" s="16">
        <f>Tabla6[[#This Row],[P1 + P4]]*VLOOKUP(MONTH(Tabla6[[#This Row],[Fecha final]]),Tabla20[#All],5,FALSE)</f>
        <v>0</v>
      </c>
      <c r="L24" s="16">
        <f>Tabla6[[#This Row],[P2 + P5]]*VLOOKUP(MONTH(Tabla6[[#This Row],[Fecha final]]),Tabla20[#All],6,FALSE)</f>
        <v>0</v>
      </c>
      <c r="M24" s="16">
        <f>Tabla6[[#This Row],[P3 + P6]]*VLOOKUP(MONTH(Tabla6[[#This Row],[Fecha final]]),Tabla20[#All],7,FALSE)</f>
        <v>794.07359999999994</v>
      </c>
      <c r="N24" s="16">
        <f>YEAR(Tabla6[[#This Row],[Fecha final]])</f>
        <v>2021</v>
      </c>
      <c r="P24" s="16" t="b">
        <f>SUM(Tabla6[[#This Row],[P1 + P4]:[P3 + P6]])=SUM(Tabla6[[#This Row],[P1]:[P6]])</f>
        <v>1</v>
      </c>
    </row>
    <row r="25" spans="1:16" hidden="1">
      <c r="A25" s="17">
        <v>44530</v>
      </c>
      <c r="B25" s="17">
        <v>44532</v>
      </c>
      <c r="C25" s="16">
        <v>2</v>
      </c>
      <c r="D25" s="16" t="s">
        <v>42</v>
      </c>
      <c r="E25" s="16">
        <v>135</v>
      </c>
      <c r="F25" s="16">
        <v>86</v>
      </c>
      <c r="G25" s="16">
        <v>35</v>
      </c>
      <c r="H25" s="16">
        <f>Tabla6[[#This Row],[P1 + P4]]*VLOOKUP(MONTH(Tabla6[[#This Row],[Fecha final]]),Tabla20[#All],2,FALSE)</f>
        <v>135</v>
      </c>
      <c r="I25" s="16">
        <f>Tabla6[[#This Row],[P2 + P5]]*VLOOKUP(MONTH(Tabla6[[#This Row],[Fecha final]]),Tabla20[#All],3,FALSE)</f>
        <v>86</v>
      </c>
      <c r="J25" s="16">
        <f>(Tabla6[[#This Row],[P3 + P6]])*VLOOKUP(MONTH(Tabla6[[#This Row],[Fecha final]]),Tabla20[#All],4,FALSE)</f>
        <v>0</v>
      </c>
      <c r="K25" s="16">
        <f>Tabla6[[#This Row],[P1 + P4]]*VLOOKUP(MONTH(Tabla6[[#This Row],[Fecha final]]),Tabla20[#All],5,FALSE)</f>
        <v>0</v>
      </c>
      <c r="L25" s="16">
        <f>Tabla6[[#This Row],[P2 + P5]]*VLOOKUP(MONTH(Tabla6[[#This Row],[Fecha final]]),Tabla20[#All],6,FALSE)</f>
        <v>0</v>
      </c>
      <c r="M25" s="16">
        <f>Tabla6[[#This Row],[P3 + P6]]*VLOOKUP(MONTH(Tabla6[[#This Row],[Fecha final]]),Tabla20[#All],7,FALSE)</f>
        <v>35</v>
      </c>
      <c r="N25" s="16">
        <f>YEAR(Tabla6[[#This Row],[Fecha final]])</f>
        <v>2021</v>
      </c>
      <c r="P25" s="16" t="b">
        <f>SUM(Tabla6[[#This Row],[P1 + P4]:[P3 + P6]])=SUM(Tabla6[[#This Row],[P1]:[P6]])</f>
        <v>1</v>
      </c>
    </row>
    <row r="26" spans="1:16" hidden="1">
      <c r="A26" s="17">
        <v>44532</v>
      </c>
      <c r="B26" s="17">
        <v>44561</v>
      </c>
      <c r="C26" s="16">
        <v>29</v>
      </c>
      <c r="D26" s="16" t="s">
        <v>42</v>
      </c>
      <c r="E26" s="16">
        <v>1077</v>
      </c>
      <c r="F26" s="16">
        <v>634</v>
      </c>
      <c r="G26" s="16">
        <v>558</v>
      </c>
      <c r="H26" s="16">
        <f>Tabla6[[#This Row],[P1 + P4]]*VLOOKUP(MONTH(Tabla6[[#This Row],[Fecha final]]),Tabla20[#All],2,FALSE)</f>
        <v>1077</v>
      </c>
      <c r="I26" s="16">
        <f>Tabla6[[#This Row],[P2 + P5]]*VLOOKUP(MONTH(Tabla6[[#This Row],[Fecha final]]),Tabla20[#All],3,FALSE)</f>
        <v>634</v>
      </c>
      <c r="J26" s="16">
        <f>(Tabla6[[#This Row],[P3 + P6]])*VLOOKUP(MONTH(Tabla6[[#This Row],[Fecha final]]),Tabla20[#All],4,FALSE)</f>
        <v>0</v>
      </c>
      <c r="K26" s="16">
        <f>Tabla6[[#This Row],[P1 + P4]]*VLOOKUP(MONTH(Tabla6[[#This Row],[Fecha final]]),Tabla20[#All],5,FALSE)</f>
        <v>0</v>
      </c>
      <c r="L26" s="16">
        <f>Tabla6[[#This Row],[P2 + P5]]*VLOOKUP(MONTH(Tabla6[[#This Row],[Fecha final]]),Tabla20[#All],6,FALSE)</f>
        <v>0</v>
      </c>
      <c r="M26" s="16">
        <f>Tabla6[[#This Row],[P3 + P6]]*VLOOKUP(MONTH(Tabla6[[#This Row],[Fecha final]]),Tabla20[#All],7,FALSE)</f>
        <v>558</v>
      </c>
      <c r="N26" s="16">
        <f>YEAR(Tabla6[[#This Row],[Fecha final]])</f>
        <v>2021</v>
      </c>
      <c r="P26" s="16" t="b">
        <f>SUM(Tabla6[[#This Row],[P1 + P4]:[P3 + P6]])=SUM(Tabla6[[#This Row],[P1]:[P6]])</f>
        <v>1</v>
      </c>
    </row>
    <row r="27" spans="1:16">
      <c r="A27" s="17">
        <v>44561</v>
      </c>
      <c r="B27" s="17">
        <v>44592</v>
      </c>
      <c r="C27" s="16">
        <v>31</v>
      </c>
      <c r="D27" s="16" t="s">
        <v>42</v>
      </c>
      <c r="E27" s="16">
        <v>1465</v>
      </c>
      <c r="F27" s="16">
        <v>876</v>
      </c>
      <c r="G27" s="16">
        <v>588</v>
      </c>
      <c r="H27" s="16">
        <f>Tabla6[[#This Row],[P1 + P4]]*VLOOKUP(MONTH(Tabla6[[#This Row],[Fecha final]]),Tabla20[#All],2,FALSE)</f>
        <v>1465</v>
      </c>
      <c r="I27" s="16">
        <f>Tabla6[[#This Row],[P2 + P5]]*VLOOKUP(MONTH(Tabla6[[#This Row],[Fecha final]]),Tabla20[#All],3,FALSE)</f>
        <v>876</v>
      </c>
      <c r="J27" s="16">
        <f>(Tabla6[[#This Row],[P3 + P6]])*VLOOKUP(MONTH(Tabla6[[#This Row],[Fecha final]]),Tabla20[#All],4,FALSE)</f>
        <v>0</v>
      </c>
      <c r="K27" s="16">
        <f>Tabla6[[#This Row],[P1 + P4]]*VLOOKUP(MONTH(Tabla6[[#This Row],[Fecha final]]),Tabla20[#All],5,FALSE)</f>
        <v>0</v>
      </c>
      <c r="L27" s="16">
        <f>Tabla6[[#This Row],[P2 + P5]]*VLOOKUP(MONTH(Tabla6[[#This Row],[Fecha final]]),Tabla20[#All],6,FALSE)</f>
        <v>0</v>
      </c>
      <c r="M27" s="16">
        <f>Tabla6[[#This Row],[P3 + P6]]*VLOOKUP(MONTH(Tabla6[[#This Row],[Fecha final]]),Tabla20[#All],7,FALSE)</f>
        <v>588</v>
      </c>
      <c r="N27" s="16">
        <f>YEAR(Tabla6[[#This Row],[Fecha final]])</f>
        <v>2022</v>
      </c>
      <c r="P27" s="16" t="b">
        <f>SUM(Tabla6[[#This Row],[P1 + P4]:[P3 + P6]])=SUM(Tabla6[[#This Row],[P1]:[P6]])</f>
        <v>1</v>
      </c>
    </row>
    <row r="28" spans="1:16">
      <c r="A28" s="17">
        <v>44592</v>
      </c>
      <c r="B28" s="17">
        <v>44620</v>
      </c>
      <c r="C28" s="16">
        <v>28</v>
      </c>
      <c r="D28" s="16" t="s">
        <v>42</v>
      </c>
      <c r="E28" s="16">
        <v>1217</v>
      </c>
      <c r="F28" s="16">
        <v>698</v>
      </c>
      <c r="G28" s="16">
        <v>440</v>
      </c>
      <c r="H28" s="16">
        <f>Tabla6[[#This Row],[P1 + P4]]*VLOOKUP(MONTH(Tabla6[[#This Row],[Fecha final]]),Tabla20[#All],2,FALSE)</f>
        <v>1217</v>
      </c>
      <c r="I28" s="16">
        <f>Tabla6[[#This Row],[P2 + P5]]*VLOOKUP(MONTH(Tabla6[[#This Row],[Fecha final]]),Tabla20[#All],3,FALSE)</f>
        <v>698</v>
      </c>
      <c r="J28" s="16">
        <f>(Tabla6[[#This Row],[P3 + P6]])*VLOOKUP(MONTH(Tabla6[[#This Row],[Fecha final]]),Tabla20[#All],4,FALSE)</f>
        <v>0</v>
      </c>
      <c r="K28" s="16">
        <f>Tabla6[[#This Row],[P1 + P4]]*VLOOKUP(MONTH(Tabla6[[#This Row],[Fecha final]]),Tabla20[#All],5,FALSE)</f>
        <v>0</v>
      </c>
      <c r="L28" s="16">
        <f>Tabla6[[#This Row],[P2 + P5]]*VLOOKUP(MONTH(Tabla6[[#This Row],[Fecha final]]),Tabla20[#All],6,FALSE)</f>
        <v>0</v>
      </c>
      <c r="M28" s="16">
        <f>Tabla6[[#This Row],[P3 + P6]]*VLOOKUP(MONTH(Tabla6[[#This Row],[Fecha final]]),Tabla20[#All],7,FALSE)</f>
        <v>440</v>
      </c>
      <c r="N28" s="16">
        <f>YEAR(Tabla6[[#This Row],[Fecha final]])</f>
        <v>2022</v>
      </c>
      <c r="P28" s="16" t="b">
        <f>SUM(Tabla6[[#This Row],[P1 + P4]:[P3 + P6]])=SUM(Tabla6[[#This Row],[P1]:[P6]])</f>
        <v>1</v>
      </c>
    </row>
    <row r="29" spans="1:16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1208</v>
      </c>
      <c r="G29" s="16">
        <v>1209</v>
      </c>
      <c r="H29" s="16">
        <f>Tabla6[[#This Row],[P1 + P4]]*VLOOKUP(MONTH(Tabla6[[#This Row],[Fecha final]]),Tabla20[#All],2,FALSE)</f>
        <v>0</v>
      </c>
      <c r="I29" s="16">
        <f>Tabla6[[#This Row],[P2 + P5]]*VLOOKUP(MONTH(Tabla6[[#This Row],[Fecha final]]),Tabla20[#All],3,FALSE)</f>
        <v>1208</v>
      </c>
      <c r="J29" s="16">
        <f>(Tabla6[[#This Row],[P3 + P6]])*VLOOKUP(MONTH(Tabla6[[#This Row],[Fecha final]]),Tabla20[#All],4,FALSE)</f>
        <v>362.45820000000003</v>
      </c>
      <c r="K29" s="16">
        <f>Tabla6[[#This Row],[P1 + P4]]*VLOOKUP(MONTH(Tabla6[[#This Row],[Fecha final]]),Tabla20[#All],5,FALSE)</f>
        <v>0</v>
      </c>
      <c r="L29" s="16">
        <f>Tabla6[[#This Row],[P2 + P5]]*VLOOKUP(MONTH(Tabla6[[#This Row],[Fecha final]]),Tabla20[#All],6,FALSE)</f>
        <v>0</v>
      </c>
      <c r="M29" s="16">
        <f>Tabla6[[#This Row],[P3 + P6]]*VLOOKUP(MONTH(Tabla6[[#This Row],[Fecha final]]),Tabla20[#All],7,FALSE)</f>
        <v>846.54180000000008</v>
      </c>
      <c r="N29" s="16">
        <f>YEAR(Tabla6[[#This Row],[Fecha final]])</f>
        <v>2022</v>
      </c>
      <c r="P29" s="16" t="b">
        <f>SUM(Tabla6[[#This Row],[P1 + P4]:[P3 + P6]])=SUM(Tabla6[[#This Row],[P1]:[P6]])</f>
        <v>1</v>
      </c>
    </row>
    <row r="30" spans="1:16">
      <c r="A30" s="17">
        <v>44651</v>
      </c>
      <c r="B30" s="17">
        <v>44681</v>
      </c>
      <c r="C30" s="16">
        <v>30</v>
      </c>
      <c r="D30" s="16" t="s">
        <v>42</v>
      </c>
      <c r="E30" s="16">
        <v>721</v>
      </c>
      <c r="F30" s="16">
        <v>426</v>
      </c>
      <c r="G30" s="16">
        <v>339</v>
      </c>
      <c r="H30" s="16">
        <f>Tabla6[[#This Row],[P1 + P4]]*VLOOKUP(MONTH(Tabla6[[#This Row],[Fecha final]]),Tabla20[#All],2,FALSE)</f>
        <v>0</v>
      </c>
      <c r="I30" s="16">
        <f>Tabla6[[#This Row],[P2 + P5]]*VLOOKUP(MONTH(Tabla6[[#This Row],[Fecha final]]),Tabla20[#All],3,FALSE)</f>
        <v>0</v>
      </c>
      <c r="J30" s="16">
        <f>(Tabla6[[#This Row],[P3 + P6]])*VLOOKUP(MONTH(Tabla6[[#This Row],[Fecha final]]),Tabla20[#All],4,FALSE)</f>
        <v>0</v>
      </c>
      <c r="K30" s="16">
        <f>Tabla6[[#This Row],[P1 + P4]]*VLOOKUP(MONTH(Tabla6[[#This Row],[Fecha final]]),Tabla20[#All],5,FALSE)</f>
        <v>721</v>
      </c>
      <c r="L30" s="16">
        <f>Tabla6[[#This Row],[P2 + P5]]*VLOOKUP(MONTH(Tabla6[[#This Row],[Fecha final]]),Tabla20[#All],6,FALSE)</f>
        <v>426</v>
      </c>
      <c r="M30" s="16">
        <f>Tabla6[[#This Row],[P3 + P6]]*VLOOKUP(MONTH(Tabla6[[#This Row],[Fecha final]]),Tabla20[#All],7,FALSE)</f>
        <v>339</v>
      </c>
      <c r="N30" s="16">
        <f>YEAR(Tabla6[[#This Row],[Fecha final]])</f>
        <v>2022</v>
      </c>
      <c r="P30" s="16" t="b">
        <f>SUM(Tabla6[[#This Row],[P1 + P4]:[P3 + P6]])=SUM(Tabla6[[#This Row],[P1]:[P6]])</f>
        <v>1</v>
      </c>
    </row>
    <row r="31" spans="1:16">
      <c r="A31" s="17">
        <v>44681</v>
      </c>
      <c r="B31" s="17">
        <v>44712</v>
      </c>
      <c r="C31" s="16">
        <v>31</v>
      </c>
      <c r="D31" s="16" t="s">
        <v>42</v>
      </c>
      <c r="E31" s="16">
        <v>598</v>
      </c>
      <c r="F31" s="16">
        <v>376</v>
      </c>
      <c r="G31" s="16">
        <v>303</v>
      </c>
      <c r="H31" s="16">
        <f>Tabla6[[#This Row],[P1 + P4]]*VLOOKUP(MONTH(Tabla6[[#This Row],[Fecha final]]),Tabla20[#All],2,FALSE)</f>
        <v>0</v>
      </c>
      <c r="I31" s="16">
        <f>Tabla6[[#This Row],[P2 + P5]]*VLOOKUP(MONTH(Tabla6[[#This Row],[Fecha final]]),Tabla20[#All],3,FALSE)</f>
        <v>0</v>
      </c>
      <c r="J31" s="16">
        <f>(Tabla6[[#This Row],[P3 + P6]])*VLOOKUP(MONTH(Tabla6[[#This Row],[Fecha final]]),Tabla20[#All],4,FALSE)</f>
        <v>0</v>
      </c>
      <c r="K31" s="16">
        <f>Tabla6[[#This Row],[P1 + P4]]*VLOOKUP(MONTH(Tabla6[[#This Row],[Fecha final]]),Tabla20[#All],5,FALSE)</f>
        <v>598</v>
      </c>
      <c r="L31" s="16">
        <f>Tabla6[[#This Row],[P2 + P5]]*VLOOKUP(MONTH(Tabla6[[#This Row],[Fecha final]]),Tabla20[#All],6,FALSE)</f>
        <v>376</v>
      </c>
      <c r="M31" s="16">
        <f>Tabla6[[#This Row],[P3 + P6]]*VLOOKUP(MONTH(Tabla6[[#This Row],[Fecha final]]),Tabla20[#All],7,FALSE)</f>
        <v>303</v>
      </c>
      <c r="N31" s="16">
        <f>YEAR(Tabla6[[#This Row],[Fecha final]])</f>
        <v>2022</v>
      </c>
      <c r="P31" s="16" t="b">
        <f>SUM(Tabla6[[#This Row],[P1 + P4]:[P3 + P6]])=SUM(Tabla6[[#This Row],[P1]:[P6]])</f>
        <v>1</v>
      </c>
    </row>
    <row r="32" spans="1:16">
      <c r="A32" s="17">
        <v>44712</v>
      </c>
      <c r="B32" s="17">
        <v>44742</v>
      </c>
      <c r="C32" s="16">
        <v>30</v>
      </c>
      <c r="D32" s="16" t="s">
        <v>42</v>
      </c>
      <c r="E32" s="16">
        <v>550</v>
      </c>
      <c r="F32" s="16">
        <v>0</v>
      </c>
      <c r="G32" s="16">
        <v>1105</v>
      </c>
      <c r="H32" s="16">
        <f>Tabla6[[#This Row],[P1 + P4]]*VLOOKUP(MONTH(Tabla6[[#This Row],[Fecha final]]),Tabla20[#All],2,FALSE)</f>
        <v>0</v>
      </c>
      <c r="I32" s="16">
        <f>Tabla6[[#This Row],[P2 + P5]]*VLOOKUP(MONTH(Tabla6[[#This Row],[Fecha final]]),Tabla20[#All],3,FALSE)</f>
        <v>0</v>
      </c>
      <c r="J32" s="16">
        <f>(Tabla6[[#This Row],[P3 + P6]])*VLOOKUP(MONTH(Tabla6[[#This Row],[Fecha final]]),Tabla20[#All],4,FALSE)</f>
        <v>386.529</v>
      </c>
      <c r="K32" s="16">
        <f>Tabla6[[#This Row],[P1 + P4]]*VLOOKUP(MONTH(Tabla6[[#This Row],[Fecha final]]),Tabla20[#All],5,FALSE)</f>
        <v>550</v>
      </c>
      <c r="L32" s="16">
        <f>Tabla6[[#This Row],[P2 + P5]]*VLOOKUP(MONTH(Tabla6[[#This Row],[Fecha final]]),Tabla20[#All],6,FALSE)</f>
        <v>0</v>
      </c>
      <c r="M32" s="16">
        <f>Tabla6[[#This Row],[P3 + P6]]*VLOOKUP(MONTH(Tabla6[[#This Row],[Fecha final]]),Tabla20[#All],7,FALSE)</f>
        <v>718.471</v>
      </c>
      <c r="N32" s="16">
        <f>YEAR(Tabla6[[#This Row],[Fecha final]])</f>
        <v>2022</v>
      </c>
      <c r="P32" s="16" t="b">
        <f>SUM(Tabla6[[#This Row],[P1 + P4]:[P3 + P6]])=SUM(Tabla6[[#This Row],[P1]:[P6]])</f>
        <v>1</v>
      </c>
    </row>
    <row r="33" spans="1:16">
      <c r="A33" s="17">
        <v>44742</v>
      </c>
      <c r="B33" s="17">
        <v>44773</v>
      </c>
      <c r="C33" s="16">
        <v>31</v>
      </c>
      <c r="D33" s="16" t="s">
        <v>42</v>
      </c>
      <c r="E33" s="16">
        <v>683</v>
      </c>
      <c r="F33" s="16">
        <v>465</v>
      </c>
      <c r="G33" s="16">
        <v>380</v>
      </c>
      <c r="H33" s="16">
        <f>Tabla6[[#This Row],[P1 + P4]]*VLOOKUP(MONTH(Tabla6[[#This Row],[Fecha final]]),Tabla20[#All],2,FALSE)</f>
        <v>683</v>
      </c>
      <c r="I33" s="16">
        <f>Tabla6[[#This Row],[P2 + P5]]*VLOOKUP(MONTH(Tabla6[[#This Row],[Fecha final]]),Tabla20[#All],3,FALSE)</f>
        <v>465</v>
      </c>
      <c r="J33" s="16">
        <f>(Tabla6[[#This Row],[P3 + P6]])*VLOOKUP(MONTH(Tabla6[[#This Row],[Fecha final]]),Tabla20[#All],4,FALSE)</f>
        <v>0</v>
      </c>
      <c r="K33" s="16">
        <f>Tabla6[[#This Row],[P1 + P4]]*VLOOKUP(MONTH(Tabla6[[#This Row],[Fecha final]]),Tabla20[#All],5,FALSE)</f>
        <v>0</v>
      </c>
      <c r="L33" s="16">
        <f>Tabla6[[#This Row],[P2 + P5]]*VLOOKUP(MONTH(Tabla6[[#This Row],[Fecha final]]),Tabla20[#All],6,FALSE)</f>
        <v>0</v>
      </c>
      <c r="M33" s="16">
        <f>Tabla6[[#This Row],[P3 + P6]]*VLOOKUP(MONTH(Tabla6[[#This Row],[Fecha final]]),Tabla20[#All],7,FALSE)</f>
        <v>380</v>
      </c>
      <c r="N33" s="16">
        <f>YEAR(Tabla6[[#This Row],[Fecha final]])</f>
        <v>2022</v>
      </c>
      <c r="P33" s="16" t="b">
        <f>SUM(Tabla6[[#This Row],[P1 + P4]:[P3 + P6]])=SUM(Tabla6[[#This Row],[P1]:[P6]])</f>
        <v>1</v>
      </c>
    </row>
    <row r="34" spans="1:16">
      <c r="A34" s="17">
        <v>44773</v>
      </c>
      <c r="B34" s="17">
        <v>44804</v>
      </c>
      <c r="C34" s="16">
        <v>31</v>
      </c>
      <c r="D34" s="16" t="s">
        <v>42</v>
      </c>
      <c r="E34" s="16">
        <v>461</v>
      </c>
      <c r="F34" s="16">
        <v>0</v>
      </c>
      <c r="G34" s="16">
        <v>1086</v>
      </c>
      <c r="H34" s="16">
        <f>Tabla6[[#This Row],[P1 + P4]]*VLOOKUP(MONTH(Tabla6[[#This Row],[Fecha final]]),Tabla20[#All],2,FALSE)</f>
        <v>0</v>
      </c>
      <c r="I34" s="16">
        <f>Tabla6[[#This Row],[P2 + P5]]*VLOOKUP(MONTH(Tabla6[[#This Row],[Fecha final]]),Tabla20[#All],3,FALSE)</f>
        <v>0</v>
      </c>
      <c r="J34" s="16">
        <f>(Tabla6[[#This Row],[P3 + P6]])*VLOOKUP(MONTH(Tabla6[[#This Row],[Fecha final]]),Tabla20[#All],4,FALSE)</f>
        <v>364.46160000000003</v>
      </c>
      <c r="K34" s="16">
        <f>Tabla6[[#This Row],[P1 + P4]]*VLOOKUP(MONTH(Tabla6[[#This Row],[Fecha final]]),Tabla20[#All],5,FALSE)</f>
        <v>461</v>
      </c>
      <c r="L34" s="16">
        <f>Tabla6[[#This Row],[P2 + P5]]*VLOOKUP(MONTH(Tabla6[[#This Row],[Fecha final]]),Tabla20[#All],6,FALSE)</f>
        <v>0</v>
      </c>
      <c r="M34" s="16">
        <f>Tabla6[[#This Row],[P3 + P6]]*VLOOKUP(MONTH(Tabla6[[#This Row],[Fecha final]]),Tabla20[#All],7,FALSE)</f>
        <v>721.53840000000002</v>
      </c>
      <c r="N34" s="16">
        <f>YEAR(Tabla6[[#This Row],[Fecha final]])</f>
        <v>2022</v>
      </c>
      <c r="P34" s="16" t="b">
        <f>SUM(Tabla6[[#This Row],[P1 + P4]:[P3 + P6]])=SUM(Tabla6[[#This Row],[P1]:[P6]])</f>
        <v>1</v>
      </c>
    </row>
    <row r="35" spans="1:16">
      <c r="A35" s="17">
        <v>44804</v>
      </c>
      <c r="B35" s="17">
        <v>44834</v>
      </c>
      <c r="C35" s="16">
        <v>30</v>
      </c>
      <c r="D35" s="16" t="s">
        <v>42</v>
      </c>
      <c r="E35" s="16">
        <v>439</v>
      </c>
      <c r="F35" s="16">
        <v>0</v>
      </c>
      <c r="G35" s="16">
        <v>977</v>
      </c>
      <c r="H35" s="16">
        <f>Tabla6[[#This Row],[P1 + P4]]*VLOOKUP(MONTH(Tabla6[[#This Row],[Fecha final]]),Tabla20[#All],2,FALSE)</f>
        <v>0</v>
      </c>
      <c r="I35" s="16">
        <f>Tabla6[[#This Row],[P2 + P5]]*VLOOKUP(MONTH(Tabla6[[#This Row],[Fecha final]]),Tabla20[#All],3,FALSE)</f>
        <v>0</v>
      </c>
      <c r="J35" s="16">
        <f>(Tabla6[[#This Row],[P3 + P6]])*VLOOKUP(MONTH(Tabla6[[#This Row],[Fecha final]]),Tabla20[#All],4,FALSE)</f>
        <v>341.75459999999998</v>
      </c>
      <c r="K35" s="16">
        <f>Tabla6[[#This Row],[P1 + P4]]*VLOOKUP(MONTH(Tabla6[[#This Row],[Fecha final]]),Tabla20[#All],5,FALSE)</f>
        <v>439</v>
      </c>
      <c r="L35" s="16">
        <f>Tabla6[[#This Row],[P2 + P5]]*VLOOKUP(MONTH(Tabla6[[#This Row],[Fecha final]]),Tabla20[#All],6,FALSE)</f>
        <v>0</v>
      </c>
      <c r="M35" s="16">
        <f>Tabla6[[#This Row],[P3 + P6]]*VLOOKUP(MONTH(Tabla6[[#This Row],[Fecha final]]),Tabla20[#All],7,FALSE)</f>
        <v>635.24540000000002</v>
      </c>
      <c r="N35" s="16">
        <f>YEAR(Tabla6[[#This Row],[Fecha final]])</f>
        <v>2022</v>
      </c>
      <c r="P35" s="16" t="b">
        <f>SUM(Tabla6[[#This Row],[P1 + P4]:[P3 + P6]])=SUM(Tabla6[[#This Row],[P1]:[P6]])</f>
        <v>1</v>
      </c>
    </row>
    <row r="36" spans="1:16">
      <c r="A36" s="17">
        <v>44834</v>
      </c>
      <c r="B36" s="17">
        <v>44865</v>
      </c>
      <c r="C36" s="16">
        <v>31</v>
      </c>
      <c r="D36" s="16" t="s">
        <v>42</v>
      </c>
      <c r="E36" s="16">
        <v>626</v>
      </c>
      <c r="F36" s="16">
        <v>348</v>
      </c>
      <c r="G36" s="16">
        <v>301</v>
      </c>
      <c r="H36" s="16">
        <f>Tabla6[[#This Row],[P1 + P4]]*VLOOKUP(MONTH(Tabla6[[#This Row],[Fecha final]]),Tabla20[#All],2,FALSE)</f>
        <v>0</v>
      </c>
      <c r="I36" s="16">
        <f>Tabla6[[#This Row],[P2 + P5]]*VLOOKUP(MONTH(Tabla6[[#This Row],[Fecha final]]),Tabla20[#All],3,FALSE)</f>
        <v>0</v>
      </c>
      <c r="J36" s="16">
        <f>(Tabla6[[#This Row],[P3 + P6]])*VLOOKUP(MONTH(Tabla6[[#This Row],[Fecha final]]),Tabla20[#All],4,FALSE)</f>
        <v>0</v>
      </c>
      <c r="K36" s="16">
        <f>Tabla6[[#This Row],[P1 + P4]]*VLOOKUP(MONTH(Tabla6[[#This Row],[Fecha final]]),Tabla20[#All],5,FALSE)</f>
        <v>626</v>
      </c>
      <c r="L36" s="16">
        <f>Tabla6[[#This Row],[P2 + P5]]*VLOOKUP(MONTH(Tabla6[[#This Row],[Fecha final]]),Tabla20[#All],6,FALSE)</f>
        <v>348</v>
      </c>
      <c r="M36" s="16">
        <f>Tabla6[[#This Row],[P3 + P6]]*VLOOKUP(MONTH(Tabla6[[#This Row],[Fecha final]]),Tabla20[#All],7,FALSE)</f>
        <v>301</v>
      </c>
      <c r="N36" s="16">
        <f>YEAR(Tabla6[[#This Row],[Fecha final]])</f>
        <v>2022</v>
      </c>
      <c r="P36" s="16" t="b">
        <f>SUM(Tabla6[[#This Row],[P1 + P4]:[P3 + P6]])=SUM(Tabla6[[#This Row],[P1]:[P6]])</f>
        <v>1</v>
      </c>
    </row>
    <row r="37" spans="1:16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1126</v>
      </c>
      <c r="G37" s="16">
        <v>1098</v>
      </c>
      <c r="H37" s="16">
        <f>Tabla6[[#This Row],[P1 + P4]]*VLOOKUP(MONTH(Tabla6[[#This Row],[Fecha final]]),Tabla20[#All],2,FALSE)</f>
        <v>0</v>
      </c>
      <c r="I37" s="16">
        <f>Tabla6[[#This Row],[P2 + P5]]*VLOOKUP(MONTH(Tabla6[[#This Row],[Fecha final]]),Tabla20[#All],3,FALSE)</f>
        <v>1126</v>
      </c>
      <c r="J37" s="16">
        <f>(Tabla6[[#This Row],[P3 + P6]])*VLOOKUP(MONTH(Tabla6[[#This Row],[Fecha final]]),Tabla20[#All],4,FALSE)</f>
        <v>303.9264</v>
      </c>
      <c r="K37" s="16">
        <f>Tabla6[[#This Row],[P1 + P4]]*VLOOKUP(MONTH(Tabla6[[#This Row],[Fecha final]]),Tabla20[#All],5,FALSE)</f>
        <v>0</v>
      </c>
      <c r="L37" s="16">
        <f>Tabla6[[#This Row],[P2 + P5]]*VLOOKUP(MONTH(Tabla6[[#This Row],[Fecha final]]),Tabla20[#All],6,FALSE)</f>
        <v>0</v>
      </c>
      <c r="M37" s="16">
        <f>Tabla6[[#This Row],[P3 + P6]]*VLOOKUP(MONTH(Tabla6[[#This Row],[Fecha final]]),Tabla20[#All],7,FALSE)</f>
        <v>794.07359999999994</v>
      </c>
      <c r="N37" s="16">
        <f>YEAR(Tabla6[[#This Row],[Fecha final]])</f>
        <v>2022</v>
      </c>
      <c r="P37" s="16" t="b">
        <f>SUM(Tabla6[[#This Row],[P1 + P4]:[P3 + P6]])=SUM(Tabla6[[#This Row],[P1]:[P6]])</f>
        <v>1</v>
      </c>
    </row>
    <row r="38" spans="1:16">
      <c r="A38" s="17">
        <v>44895</v>
      </c>
      <c r="B38" s="17">
        <v>44936</v>
      </c>
      <c r="C38" s="16">
        <v>41</v>
      </c>
      <c r="D38" s="16" t="s">
        <v>42</v>
      </c>
      <c r="E38" s="16">
        <v>2076</v>
      </c>
      <c r="F38" s="16">
        <v>1273</v>
      </c>
      <c r="G38" s="16">
        <v>761</v>
      </c>
      <c r="H38" s="16">
        <f>Tabla6[[#This Row],[P1 + P4]]*VLOOKUP(MONTH(Tabla6[[#This Row],[Fecha final]]),Tabla20[#All],2,FALSE)</f>
        <v>2076</v>
      </c>
      <c r="I38" s="16">
        <f>Tabla6[[#This Row],[P2 + P5]]*VLOOKUP(MONTH(Tabla6[[#This Row],[Fecha final]]),Tabla20[#All],3,FALSE)</f>
        <v>1273</v>
      </c>
      <c r="J38" s="16">
        <f>(Tabla6[[#This Row],[P3 + P6]])*VLOOKUP(MONTH(Tabla6[[#This Row],[Fecha final]]),Tabla20[#All],4,FALSE)</f>
        <v>0</v>
      </c>
      <c r="K38" s="16">
        <f>Tabla6[[#This Row],[P1 + P4]]*VLOOKUP(MONTH(Tabla6[[#This Row],[Fecha final]]),Tabla20[#All],5,FALSE)</f>
        <v>0</v>
      </c>
      <c r="L38" s="16">
        <f>Tabla6[[#This Row],[P2 + P5]]*VLOOKUP(MONTH(Tabla6[[#This Row],[Fecha final]]),Tabla20[#All],6,FALSE)</f>
        <v>0</v>
      </c>
      <c r="M38" s="16">
        <f>Tabla6[[#This Row],[P3 + P6]]*VLOOKUP(MONTH(Tabla6[[#This Row],[Fecha final]]),Tabla20[#All],7,FALSE)</f>
        <v>761</v>
      </c>
      <c r="N38" s="16">
        <f>YEAR(Tabla6[[#This Row],[Fecha final]])</f>
        <v>2023</v>
      </c>
      <c r="P38" s="16" t="b">
        <f>SUM(Tabla6[[#This Row],[P1 + P4]:[P3 + P6]])=SUM(Tabla6[[#This Row],[P1]:[P6]])</f>
        <v>1</v>
      </c>
    </row>
    <row r="39" spans="1:16">
      <c r="A39" s="17">
        <v>44936</v>
      </c>
      <c r="B39" s="17">
        <v>44957</v>
      </c>
      <c r="C39" s="16">
        <v>21</v>
      </c>
      <c r="D39" s="16" t="s">
        <v>42</v>
      </c>
      <c r="E39" s="16">
        <v>1500</v>
      </c>
      <c r="F39" s="16">
        <v>-2223</v>
      </c>
      <c r="G39" s="16">
        <v>384</v>
      </c>
      <c r="H39" s="16">
        <f>Tabla6[[#This Row],[P1 + P4]]*VLOOKUP(MONTH(Tabla6[[#This Row],[Fecha final]]),Tabla20[#All],2,FALSE)</f>
        <v>1500</v>
      </c>
      <c r="I39" s="16">
        <f>Tabla6[[#This Row],[P2 + P5]]*VLOOKUP(MONTH(Tabla6[[#This Row],[Fecha final]]),Tabla20[#All],3,FALSE)</f>
        <v>-2223</v>
      </c>
      <c r="J39" s="16">
        <f>(Tabla6[[#This Row],[P3 + P6]])*VLOOKUP(MONTH(Tabla6[[#This Row],[Fecha final]]),Tabla20[#All],4,FALSE)</f>
        <v>0</v>
      </c>
      <c r="K39" s="16">
        <f>Tabla6[[#This Row],[P1 + P4]]*VLOOKUP(MONTH(Tabla6[[#This Row],[Fecha final]]),Tabla20[#All],5,FALSE)</f>
        <v>0</v>
      </c>
      <c r="L39" s="16">
        <f>Tabla6[[#This Row],[P2 + P5]]*VLOOKUP(MONTH(Tabla6[[#This Row],[Fecha final]]),Tabla20[#All],6,FALSE)</f>
        <v>0</v>
      </c>
      <c r="M39" s="16">
        <f>Tabla6[[#This Row],[P3 + P6]]*VLOOKUP(MONTH(Tabla6[[#This Row],[Fecha final]]),Tabla20[#All],7,FALSE)</f>
        <v>384</v>
      </c>
      <c r="N39" s="16">
        <f>YEAR(Tabla6[[#This Row],[Fecha final]])</f>
        <v>2023</v>
      </c>
      <c r="P39" s="16" t="b">
        <f>SUM(Tabla6[[#This Row],[P1 + P4]:[P3 + P6]])=SUM(Tabla6[[#This Row],[P1]:[P6]])</f>
        <v>1</v>
      </c>
    </row>
    <row r="40" spans="1:16">
      <c r="A40" s="17">
        <v>44957</v>
      </c>
      <c r="B40" s="17">
        <v>44985</v>
      </c>
      <c r="C40" s="16">
        <v>28</v>
      </c>
      <c r="D40" s="16" t="s">
        <v>42</v>
      </c>
      <c r="E40" s="16">
        <v>558</v>
      </c>
      <c r="F40" s="16">
        <v>318</v>
      </c>
      <c r="G40" s="16">
        <v>1656</v>
      </c>
      <c r="H40" s="16">
        <f>Tabla6[[#This Row],[P1 + P4]]*VLOOKUP(MONTH(Tabla6[[#This Row],[Fecha final]]),Tabla20[#All],2,FALSE)</f>
        <v>558</v>
      </c>
      <c r="I40" s="16">
        <f>Tabla6[[#This Row],[P2 + P5]]*VLOOKUP(MONTH(Tabla6[[#This Row],[Fecha final]]),Tabla20[#All],3,FALSE)</f>
        <v>318</v>
      </c>
      <c r="J40" s="16">
        <f>(Tabla6[[#This Row],[P3 + P6]])*VLOOKUP(MONTH(Tabla6[[#This Row],[Fecha final]]),Tabla20[#All],4,FALSE)</f>
        <v>0</v>
      </c>
      <c r="K40" s="16">
        <f>Tabla6[[#This Row],[P1 + P4]]*VLOOKUP(MONTH(Tabla6[[#This Row],[Fecha final]]),Tabla20[#All],5,FALSE)</f>
        <v>0</v>
      </c>
      <c r="L40" s="16">
        <f>Tabla6[[#This Row],[P2 + P5]]*VLOOKUP(MONTH(Tabla6[[#This Row],[Fecha final]]),Tabla20[#All],6,FALSE)</f>
        <v>0</v>
      </c>
      <c r="M40" s="16">
        <f>Tabla6[[#This Row],[P3 + P6]]*VLOOKUP(MONTH(Tabla6[[#This Row],[Fecha final]]),Tabla20[#All],7,FALSE)</f>
        <v>1656</v>
      </c>
      <c r="N40" s="16">
        <f>YEAR(Tabla6[[#This Row],[Fecha final]])</f>
        <v>2023</v>
      </c>
      <c r="P40" s="16" t="b">
        <f>SUM(Tabla6[[#This Row],[P1 + P4]:[P3 + P6]])=SUM(Tabla6[[#This Row],[P1]:[P6]])</f>
        <v>1</v>
      </c>
    </row>
    <row r="41" spans="1:16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570</v>
      </c>
      <c r="G41" s="16">
        <v>1496</v>
      </c>
      <c r="H41" s="16">
        <f>Tabla6[[#This Row],[P1 + P4]]*VLOOKUP(MONTH(Tabla6[[#This Row],[Fecha final]]),Tabla20[#All],2,FALSE)</f>
        <v>0</v>
      </c>
      <c r="I41" s="16">
        <f>Tabla6[[#This Row],[P2 + P5]]*VLOOKUP(MONTH(Tabla6[[#This Row],[Fecha final]]),Tabla20[#All],3,FALSE)</f>
        <v>570</v>
      </c>
      <c r="J41" s="16">
        <f>(Tabla6[[#This Row],[P3 + P6]])*VLOOKUP(MONTH(Tabla6[[#This Row],[Fecha final]]),Tabla20[#All],4,FALSE)</f>
        <v>448.50080000000003</v>
      </c>
      <c r="K41" s="16">
        <f>Tabla6[[#This Row],[P1 + P4]]*VLOOKUP(MONTH(Tabla6[[#This Row],[Fecha final]]),Tabla20[#All],5,FALSE)</f>
        <v>0</v>
      </c>
      <c r="L41" s="16">
        <f>Tabla6[[#This Row],[P2 + P5]]*VLOOKUP(MONTH(Tabla6[[#This Row],[Fecha final]]),Tabla20[#All],6,FALSE)</f>
        <v>0</v>
      </c>
      <c r="M41" s="16">
        <f>Tabla6[[#This Row],[P3 + P6]]*VLOOKUP(MONTH(Tabla6[[#This Row],[Fecha final]]),Tabla20[#All],7,FALSE)</f>
        <v>1047.4992</v>
      </c>
      <c r="N41" s="16">
        <f>YEAR(Tabla6[[#This Row],[Fecha final]])</f>
        <v>2023</v>
      </c>
      <c r="P41" s="16" t="b">
        <f>SUM(Tabla6[[#This Row],[P1 + P4]:[P3 + P6]])=SUM(Tabla6[[#This Row],[P1]:[P6]])</f>
        <v>1</v>
      </c>
    </row>
    <row r="42" spans="1:16">
      <c r="A42" s="23"/>
      <c r="B42" s="23"/>
      <c r="C42" s="23"/>
      <c r="D42" s="23"/>
      <c r="E42" s="23"/>
      <c r="F42" s="23"/>
      <c r="G42" s="23"/>
      <c r="H42" s="23">
        <f>SUBTOTAL(109,Tabla6[P1])</f>
        <v>7499</v>
      </c>
      <c r="I42" s="23">
        <f>SUBTOTAL(109,Tabla6[P2])</f>
        <v>4311</v>
      </c>
      <c r="J42" s="23">
        <f>SUBTOTAL(109,Tabla6[P3])</f>
        <v>2207.6306000000004</v>
      </c>
      <c r="K42" s="23">
        <f>SUBTOTAL(109,Tabla6[P4])</f>
        <v>3395</v>
      </c>
      <c r="L42" s="23">
        <f>SUBTOTAL(109,Tabla6[P5])</f>
        <v>1150</v>
      </c>
      <c r="M42" s="23">
        <f>SUBTOTAL(109,Tabla6[P6])</f>
        <v>9915.3693999999996</v>
      </c>
      <c r="N42" s="23"/>
    </row>
    <row r="44" spans="1:16">
      <c r="A44" s="16" t="s">
        <v>77</v>
      </c>
    </row>
    <row r="46" spans="1:16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6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6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95</v>
      </c>
      <c r="B49" s="16" t="s">
        <v>74</v>
      </c>
      <c r="C49" s="16">
        <v>21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95</v>
      </c>
      <c r="C50" s="16">
        <v>41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6</v>
      </c>
      <c r="F70" s="16">
        <v>23</v>
      </c>
      <c r="G70" s="16">
        <v>7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0</v>
      </c>
      <c r="F71" s="16">
        <v>71</v>
      </c>
      <c r="G71" s="16">
        <v>0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142</v>
      </c>
      <c r="F72" s="16">
        <v>22</v>
      </c>
      <c r="G72" s="16">
        <v>0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168</v>
      </c>
      <c r="F73" s="16">
        <v>9</v>
      </c>
      <c r="G73" s="16">
        <v>0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212</v>
      </c>
      <c r="F74" s="16">
        <v>10</v>
      </c>
      <c r="G74" s="16">
        <v>0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222</v>
      </c>
      <c r="F75" s="16">
        <v>34</v>
      </c>
      <c r="G75" s="16">
        <v>0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205</v>
      </c>
      <c r="F76" s="16">
        <v>15</v>
      </c>
      <c r="G76" s="16">
        <v>0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43</v>
      </c>
      <c r="F77" s="16">
        <v>111</v>
      </c>
      <c r="G77" s="16">
        <v>0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0</v>
      </c>
      <c r="F78" s="16">
        <v>104</v>
      </c>
      <c r="G78" s="16">
        <v>0</v>
      </c>
    </row>
    <row r="79" spans="1:7">
      <c r="A79" s="16" t="s">
        <v>96</v>
      </c>
      <c r="B79" s="16" t="s">
        <v>78</v>
      </c>
      <c r="C79" s="16">
        <v>29</v>
      </c>
      <c r="D79" s="16" t="s">
        <v>42</v>
      </c>
      <c r="E79" s="16">
        <v>0</v>
      </c>
      <c r="F79" s="16">
        <v>56</v>
      </c>
      <c r="G79" s="16">
        <v>0</v>
      </c>
    </row>
    <row r="80" spans="1:7">
      <c r="A80" s="16" t="s">
        <v>89</v>
      </c>
      <c r="B80" s="16" t="s">
        <v>96</v>
      </c>
      <c r="C80" s="16">
        <v>33</v>
      </c>
      <c r="D80" s="16" t="s">
        <v>42</v>
      </c>
      <c r="E80" s="16">
        <v>0</v>
      </c>
      <c r="F80" s="16">
        <v>26</v>
      </c>
      <c r="G80" s="16">
        <v>0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0</v>
      </c>
      <c r="F81" s="16">
        <v>21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31.5</v>
      </c>
      <c r="C87" s="16">
        <v>31.5</v>
      </c>
      <c r="D87" s="16">
        <v>31.5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9</v>
      </c>
      <c r="G89" s="16">
        <v>13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7</v>
      </c>
      <c r="F90" s="16">
        <v>8</v>
      </c>
      <c r="G90" s="16">
        <v>13</v>
      </c>
    </row>
    <row r="91" spans="1:7">
      <c r="A91" s="16" t="s">
        <v>95</v>
      </c>
      <c r="B91" s="16" t="s">
        <v>74</v>
      </c>
      <c r="C91" s="16">
        <v>21</v>
      </c>
      <c r="D91" s="16" t="s">
        <v>42</v>
      </c>
      <c r="E91" s="16">
        <v>11.26</v>
      </c>
      <c r="F91" s="16">
        <v>1.0569999999999999</v>
      </c>
      <c r="G91" s="16">
        <v>1.55</v>
      </c>
    </row>
    <row r="92" spans="1:7">
      <c r="A92" s="16" t="s">
        <v>72</v>
      </c>
      <c r="B92" s="16" t="s">
        <v>95</v>
      </c>
      <c r="C92" s="16">
        <v>41</v>
      </c>
      <c r="D92" s="16" t="s">
        <v>42</v>
      </c>
      <c r="E92" s="16">
        <v>8</v>
      </c>
      <c r="F92" s="16">
        <v>7</v>
      </c>
      <c r="G92" s="16">
        <v>12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5.9580000000000002</v>
      </c>
      <c r="G93" s="16">
        <v>4.5650000000000004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8</v>
      </c>
      <c r="F94" s="16">
        <v>6.6</v>
      </c>
      <c r="G94" s="16">
        <v>8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8</v>
      </c>
      <c r="F95" s="16">
        <v>0</v>
      </c>
      <c r="G95" s="16">
        <v>8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10</v>
      </c>
      <c r="F96" s="16">
        <v>0</v>
      </c>
      <c r="G96" s="16">
        <v>9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9</v>
      </c>
      <c r="F97" s="16">
        <v>11</v>
      </c>
      <c r="G97" s="16">
        <v>5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9</v>
      </c>
      <c r="F98" s="16">
        <v>0</v>
      </c>
      <c r="G98" s="16">
        <v>10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10</v>
      </c>
      <c r="F99" s="16">
        <v>7</v>
      </c>
      <c r="G99" s="16">
        <v>5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12</v>
      </c>
      <c r="F100" s="16">
        <v>9</v>
      </c>
      <c r="G100" s="16">
        <v>5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12</v>
      </c>
      <c r="G101" s="16">
        <v>11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13</v>
      </c>
      <c r="F102" s="16">
        <v>13</v>
      </c>
      <c r="G102" s="16">
        <v>7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17</v>
      </c>
      <c r="F103" s="16">
        <v>15</v>
      </c>
      <c r="G103" s="16">
        <v>7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12</v>
      </c>
      <c r="F104" s="16">
        <v>10</v>
      </c>
      <c r="G104" s="16">
        <v>6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31.5</v>
      </c>
      <c r="F105" s="16">
        <v>31.5</v>
      </c>
      <c r="G105" s="16">
        <v>31.5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31.5</v>
      </c>
      <c r="F106" s="16">
        <v>31.5</v>
      </c>
      <c r="G106" s="16">
        <v>31.5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31.5</v>
      </c>
      <c r="F107" s="16">
        <v>31.5</v>
      </c>
      <c r="G107" s="16">
        <v>31.5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31.5</v>
      </c>
      <c r="F108" s="16">
        <v>31.5</v>
      </c>
      <c r="G108" s="16">
        <v>31.5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31.5</v>
      </c>
      <c r="F109" s="16">
        <v>31.5</v>
      </c>
      <c r="G109" s="16">
        <v>31.5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31.5</v>
      </c>
      <c r="F110" s="16">
        <v>31.5</v>
      </c>
      <c r="G110" s="16">
        <v>31.5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31.5</v>
      </c>
      <c r="F111" s="16">
        <v>31.5</v>
      </c>
      <c r="G111" s="16">
        <v>31.5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4</v>
      </c>
      <c r="F112" s="16">
        <v>2</v>
      </c>
      <c r="G112" s="16">
        <v>1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6</v>
      </c>
      <c r="F113" s="16">
        <v>8</v>
      </c>
      <c r="G113" s="16">
        <v>4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8</v>
      </c>
      <c r="F114" s="16">
        <v>13</v>
      </c>
      <c r="G114" s="16">
        <v>6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6</v>
      </c>
      <c r="F115" s="16">
        <v>14</v>
      </c>
      <c r="G115" s="16">
        <v>7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7</v>
      </c>
      <c r="F116" s="16">
        <v>19</v>
      </c>
      <c r="G116" s="16">
        <v>8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7</v>
      </c>
      <c r="F117" s="16">
        <v>12</v>
      </c>
      <c r="G117" s="16">
        <v>7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6</v>
      </c>
      <c r="F118" s="16">
        <v>11</v>
      </c>
      <c r="G118" s="16">
        <v>6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7</v>
      </c>
      <c r="F119" s="16">
        <v>10</v>
      </c>
      <c r="G119" s="16">
        <v>5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0</v>
      </c>
      <c r="F120" s="16">
        <v>4</v>
      </c>
      <c r="G120" s="16">
        <v>0</v>
      </c>
    </row>
    <row r="121" spans="1:7">
      <c r="A121" s="16" t="s">
        <v>96</v>
      </c>
      <c r="B121" s="16" t="s">
        <v>78</v>
      </c>
      <c r="C121" s="16">
        <v>29</v>
      </c>
      <c r="D121" s="16" t="s">
        <v>42</v>
      </c>
      <c r="E121" s="16">
        <v>4</v>
      </c>
      <c r="F121" s="16">
        <v>10</v>
      </c>
      <c r="G121" s="16">
        <v>2</v>
      </c>
    </row>
    <row r="122" spans="1:7">
      <c r="A122" s="16" t="s">
        <v>89</v>
      </c>
      <c r="B122" s="16" t="s">
        <v>96</v>
      </c>
      <c r="C122" s="16">
        <v>33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7</v>
      </c>
      <c r="F123" s="16">
        <v>8</v>
      </c>
      <c r="G123" s="16">
        <v>4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59B1-87A7-42DD-BC99-1C0D81329D6D}">
  <dimension ref="A1:N123"/>
  <sheetViews>
    <sheetView topLeftCell="A22" workbookViewId="0">
      <selection activeCell="K34" sqref="K34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407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3133</v>
      </c>
      <c r="C4" s="16">
        <v>2848</v>
      </c>
      <c r="D4" s="16">
        <v>1869</v>
      </c>
    </row>
    <row r="5" spans="1:14">
      <c r="A5" s="16" t="s">
        <v>36</v>
      </c>
      <c r="B5" s="16">
        <v>40</v>
      </c>
      <c r="C5" s="16">
        <v>36</v>
      </c>
      <c r="D5" s="16">
        <v>24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44035</v>
      </c>
      <c r="B7" s="17">
        <v>44067</v>
      </c>
      <c r="C7" s="16">
        <v>32</v>
      </c>
      <c r="D7" s="16" t="s">
        <v>42</v>
      </c>
      <c r="E7" s="16">
        <v>840</v>
      </c>
      <c r="F7" s="16">
        <v>0</v>
      </c>
      <c r="G7" s="16">
        <v>0</v>
      </c>
      <c r="H7" s="16">
        <f>SUM(Tabla31[[#This Row],[P1 + P4]:[P2 + P5]])</f>
        <v>840</v>
      </c>
      <c r="I7" s="16">
        <f>Tabla31[[#This Row],[P3 + P6]]</f>
        <v>0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YEAR(Tabla31[[#This Row],[Fecha final]])</f>
        <v>2020</v>
      </c>
    </row>
    <row r="8" spans="1:14">
      <c r="A8" s="17">
        <v>44067</v>
      </c>
      <c r="B8" s="17">
        <v>44096</v>
      </c>
      <c r="C8" s="16">
        <v>29</v>
      </c>
      <c r="D8" s="16" t="s">
        <v>42</v>
      </c>
      <c r="E8" s="16">
        <v>598</v>
      </c>
      <c r="F8" s="16">
        <v>0</v>
      </c>
      <c r="G8" s="16">
        <v>0</v>
      </c>
      <c r="H8" s="16">
        <f>SUM(Tabla31[[#This Row],[P1 + P4]:[P2 + P5]])</f>
        <v>598</v>
      </c>
      <c r="I8" s="16">
        <f>Tabla31[[#This Row],[P3 + P6]]</f>
        <v>0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YEAR(Tabla31[[#This Row],[Fecha final]])</f>
        <v>2020</v>
      </c>
    </row>
    <row r="9" spans="1:14">
      <c r="A9" s="17">
        <v>44096</v>
      </c>
      <c r="B9" s="17">
        <v>44126</v>
      </c>
      <c r="C9" s="16">
        <v>30</v>
      </c>
      <c r="D9" s="16" t="s">
        <v>42</v>
      </c>
      <c r="E9" s="16">
        <v>429</v>
      </c>
      <c r="F9" s="16">
        <v>0</v>
      </c>
      <c r="G9" s="16">
        <v>0</v>
      </c>
      <c r="H9" s="16">
        <f>SUM(Tabla31[[#This Row],[P1 + P4]:[P2 + P5]])</f>
        <v>429</v>
      </c>
      <c r="I9" s="16">
        <f>Tabla31[[#This Row],[P3 + P6]]</f>
        <v>0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YEAR(Tabla31[[#This Row],[Fecha final]])</f>
        <v>2020</v>
      </c>
    </row>
    <row r="10" spans="1:14">
      <c r="A10" s="17">
        <v>44126</v>
      </c>
      <c r="B10" s="17">
        <v>44155</v>
      </c>
      <c r="C10" s="16">
        <v>29</v>
      </c>
      <c r="D10" s="16" t="s">
        <v>42</v>
      </c>
      <c r="E10" s="16">
        <v>397</v>
      </c>
      <c r="F10" s="16">
        <v>0</v>
      </c>
      <c r="G10" s="16">
        <v>0</v>
      </c>
      <c r="H10" s="16">
        <f>SUM(Tabla31[[#This Row],[P1 + P4]:[P2 + P5]])</f>
        <v>397</v>
      </c>
      <c r="I10" s="16">
        <f>Tabla31[[#This Row],[P3 + P6]]</f>
        <v>0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YEAR(Tabla31[[#This Row],[Fecha final]])</f>
        <v>2020</v>
      </c>
    </row>
    <row r="11" spans="1:14">
      <c r="A11" s="17">
        <v>44155</v>
      </c>
      <c r="B11" s="17">
        <v>44191</v>
      </c>
      <c r="C11" s="16">
        <v>36</v>
      </c>
      <c r="D11" s="16" t="s">
        <v>42</v>
      </c>
      <c r="E11" s="16">
        <v>805</v>
      </c>
      <c r="F11" s="16">
        <v>0</v>
      </c>
      <c r="G11" s="16">
        <v>0</v>
      </c>
      <c r="H11" s="16">
        <f>SUM(Tabla31[[#This Row],[P1 + P4]:[P2 + P5]])</f>
        <v>805</v>
      </c>
      <c r="I11" s="16">
        <f>Tabla31[[#This Row],[P3 + P6]]</f>
        <v>0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YEAR(Tabla31[[#This Row],[Fecha final]])</f>
        <v>2020</v>
      </c>
    </row>
    <row r="12" spans="1:14">
      <c r="A12" s="17">
        <v>44191</v>
      </c>
      <c r="B12" s="17">
        <v>44219</v>
      </c>
      <c r="C12" s="16">
        <v>28</v>
      </c>
      <c r="D12" s="16" t="s">
        <v>42</v>
      </c>
      <c r="E12" s="16">
        <v>785</v>
      </c>
      <c r="F12" s="16">
        <v>0</v>
      </c>
      <c r="G12" s="16">
        <v>0</v>
      </c>
      <c r="H12" s="16">
        <f>SUM(Tabla31[[#This Row],[P1 + P4]:[P2 + P5]])</f>
        <v>785</v>
      </c>
      <c r="I12" s="16">
        <f>Tabla31[[#This Row],[P3 + P6]]</f>
        <v>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YEAR(Tabla31[[#This Row],[Fecha final]])</f>
        <v>2021</v>
      </c>
    </row>
    <row r="13" spans="1:14">
      <c r="A13" s="17">
        <v>44219</v>
      </c>
      <c r="B13" s="17">
        <v>44249</v>
      </c>
      <c r="C13" s="16">
        <v>30</v>
      </c>
      <c r="D13" s="16" t="s">
        <v>42</v>
      </c>
      <c r="E13" s="16">
        <v>766</v>
      </c>
      <c r="F13" s="16">
        <v>0</v>
      </c>
      <c r="G13" s="16">
        <v>0</v>
      </c>
      <c r="H13" s="16">
        <f>SUM(Tabla31[[#This Row],[P1 + P4]:[P2 + P5]])</f>
        <v>766</v>
      </c>
      <c r="I13" s="16">
        <f>Tabla31[[#This Row],[P3 + P6]]</f>
        <v>0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YEAR(Tabla31[[#This Row],[Fecha final]])</f>
        <v>2021</v>
      </c>
    </row>
    <row r="14" spans="1:14">
      <c r="A14" s="17">
        <v>44249</v>
      </c>
      <c r="B14" s="17">
        <v>44278</v>
      </c>
      <c r="C14" s="16">
        <v>29</v>
      </c>
      <c r="D14" s="16" t="s">
        <v>42</v>
      </c>
      <c r="E14" s="16">
        <v>685</v>
      </c>
      <c r="F14" s="16">
        <v>0</v>
      </c>
      <c r="G14" s="16">
        <v>0</v>
      </c>
      <c r="H14" s="16">
        <f>SUM(Tabla31[[#This Row],[P1 + P4]:[P2 + P5]])</f>
        <v>685</v>
      </c>
      <c r="I14" s="16">
        <f>Tabla31[[#This Row],[P3 + P6]]</f>
        <v>0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YEAR(Tabla31[[#This Row],[Fecha final]])</f>
        <v>2021</v>
      </c>
    </row>
    <row r="15" spans="1:14">
      <c r="A15" s="17">
        <v>44278</v>
      </c>
      <c r="B15" s="17">
        <v>44313</v>
      </c>
      <c r="C15" s="16">
        <v>35</v>
      </c>
      <c r="D15" s="16" t="s">
        <v>42</v>
      </c>
      <c r="E15" s="16">
        <v>695</v>
      </c>
      <c r="F15" s="16">
        <v>0</v>
      </c>
      <c r="G15" s="16">
        <v>0</v>
      </c>
      <c r="H15" s="16">
        <f>SUM(Tabla31[[#This Row],[P1 + P4]:[P2 + P5]])</f>
        <v>695</v>
      </c>
      <c r="I15" s="16">
        <f>Tabla31[[#This Row],[P3 + P6]]</f>
        <v>0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YEAR(Tabla31[[#This Row],[Fecha final]])</f>
        <v>2021</v>
      </c>
    </row>
    <row r="16" spans="1:14">
      <c r="A16" s="17">
        <v>44313</v>
      </c>
      <c r="B16" s="17">
        <v>44341</v>
      </c>
      <c r="C16" s="16">
        <v>28</v>
      </c>
      <c r="D16" s="16" t="s">
        <v>42</v>
      </c>
      <c r="E16" s="16">
        <v>415</v>
      </c>
      <c r="F16" s="16">
        <v>0</v>
      </c>
      <c r="G16" s="16">
        <v>0</v>
      </c>
      <c r="H16" s="16">
        <f>SUM(Tabla31[[#This Row],[P1 + P4]:[P2 + P5]])</f>
        <v>415</v>
      </c>
      <c r="I16" s="16">
        <f>Tabla31[[#This Row],[P3 + P6]]</f>
        <v>0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YEAR(Tabla31[[#This Row],[Fecha final]])</f>
        <v>2021</v>
      </c>
    </row>
    <row r="17" spans="1:14">
      <c r="A17" s="17">
        <v>44341</v>
      </c>
      <c r="B17" s="17">
        <v>44347</v>
      </c>
      <c r="C17" s="16">
        <v>6</v>
      </c>
      <c r="D17" s="16" t="s">
        <v>42</v>
      </c>
      <c r="E17" s="16">
        <v>85</v>
      </c>
      <c r="F17" s="16">
        <v>0</v>
      </c>
      <c r="G17" s="16">
        <v>0</v>
      </c>
      <c r="H17" s="16">
        <f>SUM(Tabla31[[#This Row],[P1 + P4]:[P2 + P5]])</f>
        <v>85</v>
      </c>
      <c r="I17" s="16">
        <f>Tabla31[[#This Row],[P3 + P6]]</f>
        <v>0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YEAR(Tabla31[[#This Row],[Fecha final]])</f>
        <v>2021</v>
      </c>
    </row>
    <row r="18" spans="1:14">
      <c r="A18" s="17">
        <v>44347</v>
      </c>
      <c r="B18" s="17">
        <v>44366</v>
      </c>
      <c r="C18" s="16">
        <v>19</v>
      </c>
      <c r="D18" s="16" t="s">
        <v>42</v>
      </c>
      <c r="E18" s="16">
        <v>139</v>
      </c>
      <c r="F18" s="16">
        <v>91</v>
      </c>
      <c r="G18" s="16">
        <v>78</v>
      </c>
      <c r="H18" s="16">
        <f>SUM(Tabla31[[#This Row],[P1 + P4]:[P2 + P5]])</f>
        <v>230</v>
      </c>
      <c r="I18" s="16">
        <f>Tabla31[[#This Row],[P3 + P6]]</f>
        <v>78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YEAR(Tabla31[[#This Row],[Fecha final]])</f>
        <v>2021</v>
      </c>
    </row>
    <row r="19" spans="1:14">
      <c r="A19" s="17">
        <v>44366</v>
      </c>
      <c r="B19" s="17">
        <v>44400</v>
      </c>
      <c r="C19" s="16">
        <v>34</v>
      </c>
      <c r="D19" s="16" t="s">
        <v>42</v>
      </c>
      <c r="E19" s="16">
        <v>279</v>
      </c>
      <c r="F19" s="16">
        <v>200</v>
      </c>
      <c r="G19" s="16">
        <v>149</v>
      </c>
      <c r="H19" s="16">
        <f>SUM(Tabla31[[#This Row],[P1 + P4]:[P2 + P5]])</f>
        <v>479</v>
      </c>
      <c r="I19" s="16">
        <f>Tabla31[[#This Row],[P3 + P6]]</f>
        <v>149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YEAR(Tabla31[[#This Row],[Fecha final]])</f>
        <v>2021</v>
      </c>
    </row>
    <row r="20" spans="1:14">
      <c r="A20" s="17">
        <v>44400</v>
      </c>
      <c r="B20" s="17">
        <v>44428</v>
      </c>
      <c r="C20" s="16">
        <v>28</v>
      </c>
      <c r="D20" s="16" t="s">
        <v>42</v>
      </c>
      <c r="E20" s="16">
        <v>257</v>
      </c>
      <c r="F20" s="16">
        <v>216</v>
      </c>
      <c r="G20" s="16">
        <v>143</v>
      </c>
      <c r="H20" s="16">
        <f>SUM(Tabla31[[#This Row],[P1 + P4]:[P2 + P5]])</f>
        <v>473</v>
      </c>
      <c r="I20" s="16">
        <f>Tabla31[[#This Row],[P3 + P6]]</f>
        <v>143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YEAR(Tabla31[[#This Row],[Fecha final]])</f>
        <v>2021</v>
      </c>
    </row>
    <row r="21" spans="1:14">
      <c r="A21" s="17">
        <v>44428</v>
      </c>
      <c r="B21" s="17">
        <v>44462</v>
      </c>
      <c r="C21" s="16">
        <v>34</v>
      </c>
      <c r="D21" s="16" t="s">
        <v>42</v>
      </c>
      <c r="E21" s="16">
        <v>64</v>
      </c>
      <c r="F21" s="16">
        <v>64</v>
      </c>
      <c r="G21" s="16">
        <v>378</v>
      </c>
      <c r="H21" s="16">
        <f>SUM(Tabla31[[#This Row],[P1 + P4]:[P2 + P5]])</f>
        <v>128</v>
      </c>
      <c r="I21" s="16">
        <f>Tabla31[[#This Row],[P3 + P6]]</f>
        <v>378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YEAR(Tabla31[[#This Row],[Fecha final]])</f>
        <v>2021</v>
      </c>
    </row>
    <row r="22" spans="1:14">
      <c r="A22" s="17">
        <v>44462</v>
      </c>
      <c r="B22" s="17">
        <v>44491</v>
      </c>
      <c r="C22" s="16">
        <v>29</v>
      </c>
      <c r="D22" s="16" t="s">
        <v>42</v>
      </c>
      <c r="E22" s="16">
        <v>381</v>
      </c>
      <c r="F22" s="16">
        <v>376</v>
      </c>
      <c r="G22" s="16">
        <v>-40</v>
      </c>
      <c r="H22" s="16">
        <f>SUM(Tabla31[[#This Row],[P1 + P4]:[P2 + P5]])</f>
        <v>757</v>
      </c>
      <c r="I22" s="16">
        <f>Tabla31[[#This Row],[P3 + P6]]</f>
        <v>-40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YEAR(Tabla31[[#This Row],[Fecha final]])</f>
        <v>2021</v>
      </c>
    </row>
    <row r="23" spans="1:14">
      <c r="A23" s="17">
        <v>44491</v>
      </c>
      <c r="B23" s="17">
        <v>44518</v>
      </c>
      <c r="C23" s="16">
        <v>27</v>
      </c>
      <c r="D23" s="16" t="s">
        <v>42</v>
      </c>
      <c r="E23" s="16">
        <v>178</v>
      </c>
      <c r="F23" s="16">
        <v>218</v>
      </c>
      <c r="G23" s="16">
        <v>142</v>
      </c>
      <c r="H23" s="16">
        <f>SUM(Tabla31[[#This Row],[P1 + P4]:[P2 + P5]])</f>
        <v>396</v>
      </c>
      <c r="I23" s="16">
        <f>Tabla31[[#This Row],[P3 + P6]]</f>
        <v>142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YEAR(Tabla31[[#This Row],[Fecha final]])</f>
        <v>2021</v>
      </c>
    </row>
    <row r="24" spans="1:14">
      <c r="A24" s="17">
        <v>44518</v>
      </c>
      <c r="B24" s="17">
        <v>44533</v>
      </c>
      <c r="C24" s="16">
        <v>15</v>
      </c>
      <c r="D24" s="16" t="s">
        <v>42</v>
      </c>
      <c r="E24" s="16">
        <v>167</v>
      </c>
      <c r="F24" s="16">
        <v>195</v>
      </c>
      <c r="G24" s="16">
        <v>74</v>
      </c>
      <c r="H24" s="16">
        <f>SUM(Tabla31[[#This Row],[P1 + P4]:[P2 + P5]])</f>
        <v>362</v>
      </c>
      <c r="I24" s="16">
        <f>Tabla31[[#This Row],[P3 + P6]]</f>
        <v>74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YEAR(Tabla31[[#This Row],[Fecha final]])</f>
        <v>2021</v>
      </c>
    </row>
    <row r="25" spans="1:14">
      <c r="A25" s="17">
        <v>44533</v>
      </c>
      <c r="B25" s="17">
        <v>44561</v>
      </c>
      <c r="C25" s="16">
        <v>28</v>
      </c>
      <c r="D25" s="16" t="s">
        <v>42</v>
      </c>
      <c r="E25" s="16">
        <v>205</v>
      </c>
      <c r="F25" s="16">
        <v>229</v>
      </c>
      <c r="G25" s="16">
        <v>148</v>
      </c>
      <c r="H25" s="16">
        <f>SUM(Tabla31[[#This Row],[P1 + P4]:[P2 + P5]])</f>
        <v>434</v>
      </c>
      <c r="I25" s="16">
        <f>Tabla31[[#This Row],[P3 + P6]]</f>
        <v>148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YEAR(Tabla31[[#This Row],[Fecha final]])</f>
        <v>2021</v>
      </c>
    </row>
    <row r="26" spans="1:14">
      <c r="A26" s="17">
        <v>44561</v>
      </c>
      <c r="B26" s="17">
        <v>44574</v>
      </c>
      <c r="C26" s="16">
        <v>13</v>
      </c>
      <c r="D26" s="16" t="s">
        <v>42</v>
      </c>
      <c r="E26" s="16">
        <v>22</v>
      </c>
      <c r="F26" s="16">
        <v>25</v>
      </c>
      <c r="G26" s="16">
        <v>63</v>
      </c>
      <c r="H26" s="16">
        <f>SUM(Tabla31[[#This Row],[P1 + P4]:[P2 + P5]])</f>
        <v>47</v>
      </c>
      <c r="I26" s="16">
        <f>Tabla31[[#This Row],[P3 + P6]]</f>
        <v>63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YEAR(Tabla31[[#This Row],[Fecha final]])</f>
        <v>2022</v>
      </c>
    </row>
    <row r="27" spans="1:14">
      <c r="A27" s="17">
        <v>44574</v>
      </c>
      <c r="B27" s="17">
        <v>44603</v>
      </c>
      <c r="C27" s="16">
        <v>29</v>
      </c>
      <c r="D27" s="16" t="s">
        <v>42</v>
      </c>
      <c r="E27" s="16">
        <v>193</v>
      </c>
      <c r="F27" s="16">
        <v>192</v>
      </c>
      <c r="G27" s="16">
        <v>136</v>
      </c>
      <c r="H27" s="16">
        <f>SUM(Tabla31[[#This Row],[P1 + P4]:[P2 + P5]])</f>
        <v>385</v>
      </c>
      <c r="I27" s="16">
        <f>Tabla31[[#This Row],[P3 + P6]]</f>
        <v>136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YEAR(Tabla31[[#This Row],[Fecha final]])</f>
        <v>2022</v>
      </c>
    </row>
    <row r="28" spans="1:14">
      <c r="A28" s="17">
        <v>44603</v>
      </c>
      <c r="B28" s="17">
        <v>44629</v>
      </c>
      <c r="C28" s="16">
        <v>26</v>
      </c>
      <c r="D28" s="16" t="s">
        <v>42</v>
      </c>
      <c r="E28" s="16">
        <v>274</v>
      </c>
      <c r="F28" s="16">
        <v>256</v>
      </c>
      <c r="G28" s="16">
        <v>138</v>
      </c>
      <c r="H28" s="16">
        <f>SUM(Tabla31[[#This Row],[P1 + P4]:[P2 + P5]])</f>
        <v>530</v>
      </c>
      <c r="I28" s="16">
        <f>Tabla31[[#This Row],[P3 + P6]]</f>
        <v>138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YEAR(Tabla31[[#This Row],[Fecha final]])</f>
        <v>2022</v>
      </c>
    </row>
    <row r="29" spans="1:14">
      <c r="A29" s="17">
        <v>44629</v>
      </c>
      <c r="B29" s="17">
        <v>44662</v>
      </c>
      <c r="C29" s="16">
        <v>33</v>
      </c>
      <c r="D29" s="16" t="s">
        <v>42</v>
      </c>
      <c r="E29" s="16">
        <v>268</v>
      </c>
      <c r="F29" s="16">
        <v>287</v>
      </c>
      <c r="G29" s="16">
        <v>162</v>
      </c>
      <c r="H29" s="16">
        <f>SUM(Tabla31[[#This Row],[P1 + P4]:[P2 + P5]])</f>
        <v>555</v>
      </c>
      <c r="I29" s="16">
        <f>Tabla31[[#This Row],[P3 + P6]]</f>
        <v>162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YEAR(Tabla31[[#This Row],[Fecha final]])</f>
        <v>2022</v>
      </c>
    </row>
    <row r="30" spans="1:14">
      <c r="A30" s="17">
        <v>44662</v>
      </c>
      <c r="B30" s="17">
        <v>44689</v>
      </c>
      <c r="C30" s="16">
        <v>27</v>
      </c>
      <c r="D30" s="16" t="s">
        <v>42</v>
      </c>
      <c r="E30" s="16">
        <v>187</v>
      </c>
      <c r="F30" s="16">
        <v>211</v>
      </c>
      <c r="G30" s="16">
        <v>120</v>
      </c>
      <c r="H30" s="16">
        <f>SUM(Tabla31[[#This Row],[P1 + P4]:[P2 + P5]])</f>
        <v>398</v>
      </c>
      <c r="I30" s="16">
        <f>Tabla31[[#This Row],[P3 + P6]]</f>
        <v>120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YEAR(Tabla31[[#This Row],[Fecha final]])</f>
        <v>2022</v>
      </c>
    </row>
    <row r="31" spans="1:14">
      <c r="A31" s="17">
        <v>44689</v>
      </c>
      <c r="B31" s="17">
        <v>44721</v>
      </c>
      <c r="C31" s="16">
        <v>32</v>
      </c>
      <c r="D31" s="16" t="s">
        <v>42</v>
      </c>
      <c r="E31" s="16">
        <v>204</v>
      </c>
      <c r="F31" s="16">
        <v>177</v>
      </c>
      <c r="G31" s="16">
        <v>129</v>
      </c>
      <c r="H31" s="16">
        <f>SUM(Tabla31[[#This Row],[P1 + P4]:[P2 + P5]])</f>
        <v>381</v>
      </c>
      <c r="I31" s="16">
        <f>Tabla31[[#This Row],[P3 + P6]]</f>
        <v>129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YEAR(Tabla31[[#This Row],[Fecha final]])</f>
        <v>2022</v>
      </c>
    </row>
    <row r="32" spans="1:14">
      <c r="A32" s="17">
        <v>44721</v>
      </c>
      <c r="B32" s="17">
        <v>44755</v>
      </c>
      <c r="C32" s="16">
        <v>34</v>
      </c>
      <c r="D32" s="16" t="s">
        <v>42</v>
      </c>
      <c r="E32" s="16">
        <v>264</v>
      </c>
      <c r="F32" s="16">
        <v>181</v>
      </c>
      <c r="G32" s="16">
        <v>145</v>
      </c>
      <c r="H32" s="16">
        <f>SUM(Tabla31[[#This Row],[P1 + P4]:[P2 + P5]])</f>
        <v>445</v>
      </c>
      <c r="I32" s="16">
        <f>Tabla31[[#This Row],[P3 + P6]]</f>
        <v>145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YEAR(Tabla31[[#This Row],[Fecha final]])</f>
        <v>2022</v>
      </c>
    </row>
    <row r="33" spans="1:14">
      <c r="A33" s="17">
        <v>44755</v>
      </c>
      <c r="B33" s="17">
        <v>44784</v>
      </c>
      <c r="C33" s="16">
        <v>29</v>
      </c>
      <c r="D33" s="16" t="s">
        <v>42</v>
      </c>
      <c r="E33" s="16">
        <v>252</v>
      </c>
      <c r="F33" s="16">
        <v>197</v>
      </c>
      <c r="G33" s="16">
        <v>138</v>
      </c>
      <c r="H33" s="16">
        <f>SUM(Tabla31[[#This Row],[P1 + P4]:[P2 + P5]])</f>
        <v>449</v>
      </c>
      <c r="I33" s="16">
        <f>Tabla31[[#This Row],[P3 + P6]]</f>
        <v>138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YEAR(Tabla31[[#This Row],[Fecha final]])</f>
        <v>2022</v>
      </c>
    </row>
    <row r="34" spans="1:14">
      <c r="A34" s="17">
        <v>44784</v>
      </c>
      <c r="B34" s="17">
        <v>44817</v>
      </c>
      <c r="C34" s="16">
        <v>33</v>
      </c>
      <c r="D34" s="16" t="s">
        <v>42</v>
      </c>
      <c r="E34" s="16">
        <v>407</v>
      </c>
      <c r="F34" s="16">
        <v>527</v>
      </c>
      <c r="G34" s="16">
        <v>259</v>
      </c>
      <c r="H34" s="16">
        <f>SUM(Tabla31[[#This Row],[P1 + P4]:[P2 + P5]])</f>
        <v>934</v>
      </c>
      <c r="I34" s="16">
        <f>Tabla31[[#This Row],[P3 + P6]]</f>
        <v>259</v>
      </c>
      <c r="J34" s="16" t="s">
        <v>156</v>
      </c>
      <c r="K34" s="16" t="s">
        <v>156</v>
      </c>
      <c r="L34" s="16" t="s">
        <v>156</v>
      </c>
      <c r="M34" s="16" t="s">
        <v>156</v>
      </c>
      <c r="N34" s="16">
        <f>YEAR(Tabla31[[#This Row],[Fecha final]])</f>
        <v>2022</v>
      </c>
    </row>
    <row r="35" spans="1:14">
      <c r="A35" s="17">
        <v>44817</v>
      </c>
      <c r="B35" s="17">
        <v>44849</v>
      </c>
      <c r="C35" s="16">
        <v>32</v>
      </c>
      <c r="D35" s="16" t="s">
        <v>42</v>
      </c>
      <c r="E35" s="16">
        <v>189</v>
      </c>
      <c r="F35" s="16">
        <v>163</v>
      </c>
      <c r="G35" s="16">
        <v>143</v>
      </c>
      <c r="H35" s="16">
        <f>SUM(Tabla31[[#This Row],[P1 + P4]:[P2 + P5]])</f>
        <v>352</v>
      </c>
      <c r="I35" s="16">
        <f>Tabla31[[#This Row],[P3 + P6]]</f>
        <v>143</v>
      </c>
      <c r="J35" s="16" t="s">
        <v>156</v>
      </c>
      <c r="K35" s="16" t="s">
        <v>156</v>
      </c>
      <c r="L35" s="16" t="s">
        <v>156</v>
      </c>
      <c r="M35" s="16" t="s">
        <v>156</v>
      </c>
      <c r="N35" s="16">
        <f>YEAR(Tabla31[[#This Row],[Fecha final]])</f>
        <v>2022</v>
      </c>
    </row>
    <row r="36" spans="1:14">
      <c r="A36" s="17">
        <v>44849</v>
      </c>
      <c r="B36" s="17">
        <v>44873</v>
      </c>
      <c r="C36" s="16">
        <v>24</v>
      </c>
      <c r="D36" s="16" t="s">
        <v>42</v>
      </c>
      <c r="E36" s="16">
        <v>115</v>
      </c>
      <c r="F36" s="16">
        <v>95</v>
      </c>
      <c r="G36" s="16">
        <v>112</v>
      </c>
      <c r="H36" s="16">
        <f>SUM(Tabla31[[#This Row],[P1 + P4]:[P2 + P5]])</f>
        <v>210</v>
      </c>
      <c r="I36" s="16">
        <f>Tabla31[[#This Row],[P3 + P6]]</f>
        <v>112</v>
      </c>
      <c r="J36" s="16" t="s">
        <v>156</v>
      </c>
      <c r="K36" s="16" t="s">
        <v>156</v>
      </c>
      <c r="L36" s="16" t="s">
        <v>156</v>
      </c>
      <c r="M36" s="16" t="s">
        <v>156</v>
      </c>
      <c r="N36" s="16">
        <f>YEAR(Tabla31[[#This Row],[Fecha final]])</f>
        <v>2022</v>
      </c>
    </row>
    <row r="37" spans="1:14">
      <c r="A37" s="17">
        <v>44873</v>
      </c>
      <c r="B37" s="17">
        <v>44903</v>
      </c>
      <c r="C37" s="16">
        <v>30</v>
      </c>
      <c r="D37" s="16" t="s">
        <v>42</v>
      </c>
      <c r="E37" s="16">
        <v>267</v>
      </c>
      <c r="F37" s="16">
        <v>215</v>
      </c>
      <c r="G37" s="16">
        <v>149</v>
      </c>
      <c r="H37" s="16">
        <f>SUM(Tabla31[[#This Row],[P1 + P4]:[P2 + P5]])</f>
        <v>482</v>
      </c>
      <c r="I37" s="16">
        <f>Tabla31[[#This Row],[P3 + P6]]</f>
        <v>149</v>
      </c>
      <c r="J37" s="16" t="s">
        <v>156</v>
      </c>
      <c r="K37" s="16" t="s">
        <v>156</v>
      </c>
      <c r="L37" s="16" t="s">
        <v>156</v>
      </c>
      <c r="M37" s="16" t="s">
        <v>156</v>
      </c>
      <c r="N37" s="16">
        <f>YEAR(Tabla31[[#This Row],[Fecha final]])</f>
        <v>2022</v>
      </c>
    </row>
    <row r="38" spans="1:14">
      <c r="A38" s="17">
        <v>44903</v>
      </c>
      <c r="B38" s="17">
        <v>44940</v>
      </c>
      <c r="C38" s="16">
        <v>37</v>
      </c>
      <c r="D38" s="16" t="s">
        <v>42</v>
      </c>
      <c r="E38" s="16">
        <v>352</v>
      </c>
      <c r="F38" s="16">
        <v>297</v>
      </c>
      <c r="G38" s="16">
        <v>210</v>
      </c>
      <c r="H38" s="16">
        <f>SUM(Tabla31[[#This Row],[P1 + P4]:[P2 + P5]])</f>
        <v>649</v>
      </c>
      <c r="I38" s="16">
        <f>Tabla31[[#This Row],[P3 + P6]]</f>
        <v>210</v>
      </c>
      <c r="J38" s="16" t="s">
        <v>156</v>
      </c>
      <c r="K38" s="16" t="s">
        <v>156</v>
      </c>
      <c r="L38" s="16" t="s">
        <v>156</v>
      </c>
      <c r="M38" s="16" t="s">
        <v>156</v>
      </c>
      <c r="N38" s="16">
        <f>YEAR(Tabla31[[#This Row],[Fecha final]])</f>
        <v>2023</v>
      </c>
    </row>
    <row r="39" spans="1:14">
      <c r="A39" s="17">
        <v>44940</v>
      </c>
      <c r="B39" s="17">
        <v>44967</v>
      </c>
      <c r="C39" s="16">
        <v>27</v>
      </c>
      <c r="D39" s="16" t="s">
        <v>42</v>
      </c>
      <c r="E39" s="16">
        <v>356</v>
      </c>
      <c r="F39" s="16">
        <v>318</v>
      </c>
      <c r="G39" s="16">
        <v>147</v>
      </c>
      <c r="H39" s="16">
        <f>SUM(Tabla31[[#This Row],[P1 + P4]:[P2 + P5]])</f>
        <v>674</v>
      </c>
      <c r="I39" s="16">
        <f>Tabla31[[#This Row],[P3 + P6]]</f>
        <v>147</v>
      </c>
      <c r="J39" s="16" t="s">
        <v>156</v>
      </c>
      <c r="K39" s="16" t="s">
        <v>156</v>
      </c>
      <c r="L39" s="16" t="s">
        <v>156</v>
      </c>
      <c r="M39" s="16" t="s">
        <v>156</v>
      </c>
      <c r="N39" s="16">
        <f>YEAR(Tabla31[[#This Row],[Fecha final]])</f>
        <v>2023</v>
      </c>
    </row>
    <row r="40" spans="1:14">
      <c r="A40" s="17">
        <v>44967</v>
      </c>
      <c r="B40" s="17">
        <v>44996</v>
      </c>
      <c r="C40" s="16">
        <v>29</v>
      </c>
      <c r="D40" s="16" t="s">
        <v>42</v>
      </c>
      <c r="E40" s="16">
        <v>288</v>
      </c>
      <c r="F40" s="16">
        <v>260</v>
      </c>
      <c r="G40" s="16">
        <v>153</v>
      </c>
      <c r="H40" s="16">
        <f>SUM(Tabla31[[#This Row],[P1 + P4]:[P2 + P5]])</f>
        <v>548</v>
      </c>
      <c r="I40" s="16">
        <f>Tabla31[[#This Row],[P3 + P6]]</f>
        <v>153</v>
      </c>
      <c r="J40" s="16" t="s">
        <v>156</v>
      </c>
      <c r="K40" s="16" t="s">
        <v>156</v>
      </c>
      <c r="L40" s="16" t="s">
        <v>156</v>
      </c>
      <c r="M40" s="16" t="s">
        <v>156</v>
      </c>
      <c r="N40" s="16">
        <f>YEAR(Tabla31[[#This Row],[Fecha final]])</f>
        <v>2023</v>
      </c>
    </row>
    <row r="41" spans="1:14">
      <c r="A41" s="17">
        <v>44996</v>
      </c>
      <c r="B41" s="17">
        <v>45031</v>
      </c>
      <c r="C41" s="16">
        <v>35</v>
      </c>
      <c r="D41" s="16" t="s">
        <v>42</v>
      </c>
      <c r="E41" s="16">
        <v>242</v>
      </c>
      <c r="F41" s="16">
        <v>239</v>
      </c>
      <c r="G41" s="16">
        <v>167</v>
      </c>
      <c r="H41" s="16">
        <f>SUM(Tabla31[[#This Row],[P1 + P4]:[P2 + P5]])</f>
        <v>481</v>
      </c>
      <c r="I41" s="16">
        <f>Tabla31[[#This Row],[P3 + P6]]</f>
        <v>167</v>
      </c>
      <c r="J41" s="16" t="s">
        <v>156</v>
      </c>
      <c r="K41" s="16" t="s">
        <v>156</v>
      </c>
      <c r="L41" s="16" t="s">
        <v>156</v>
      </c>
      <c r="M41" s="16" t="s">
        <v>156</v>
      </c>
      <c r="N41" s="16">
        <f>YEAR(Tabla31[[#This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390</v>
      </c>
      <c r="B47" s="16" t="s">
        <v>408</v>
      </c>
      <c r="C47" s="16">
        <v>35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409</v>
      </c>
      <c r="B48" s="16" t="s">
        <v>390</v>
      </c>
      <c r="C48" s="16">
        <v>29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392</v>
      </c>
      <c r="B49" s="16" t="s">
        <v>409</v>
      </c>
      <c r="C49" s="16">
        <v>27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374</v>
      </c>
      <c r="B50" s="16" t="s">
        <v>392</v>
      </c>
      <c r="C50" s="16">
        <v>37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410</v>
      </c>
      <c r="B51" s="16" t="s">
        <v>374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104</v>
      </c>
      <c r="B52" s="16" t="s">
        <v>410</v>
      </c>
      <c r="C52" s="16">
        <v>24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105</v>
      </c>
      <c r="B53" s="16" t="s">
        <v>104</v>
      </c>
      <c r="C53" s="16">
        <v>32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411</v>
      </c>
      <c r="B54" s="16" t="s">
        <v>105</v>
      </c>
      <c r="C54" s="16">
        <v>33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107</v>
      </c>
      <c r="B55" s="16" t="s">
        <v>411</v>
      </c>
      <c r="C55" s="16">
        <v>29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412</v>
      </c>
      <c r="B56" s="16" t="s">
        <v>107</v>
      </c>
      <c r="C56" s="16">
        <v>34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413</v>
      </c>
      <c r="B57" s="16" t="s">
        <v>412</v>
      </c>
      <c r="C57" s="16">
        <v>32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414</v>
      </c>
      <c r="B58" s="16" t="s">
        <v>413</v>
      </c>
      <c r="C58" s="16">
        <v>27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415</v>
      </c>
      <c r="B59" s="16" t="s">
        <v>414</v>
      </c>
      <c r="C59" s="16">
        <v>33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416</v>
      </c>
      <c r="B60" s="16" t="s">
        <v>415</v>
      </c>
      <c r="C60" s="16">
        <v>26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113</v>
      </c>
      <c r="B61" s="16" t="s">
        <v>416</v>
      </c>
      <c r="C61" s="16">
        <v>29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113</v>
      </c>
      <c r="C62" s="16">
        <v>13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115</v>
      </c>
      <c r="B63" s="16" t="s">
        <v>60</v>
      </c>
      <c r="C63" s="16">
        <v>28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417</v>
      </c>
      <c r="B64" s="16" t="s">
        <v>115</v>
      </c>
      <c r="C64" s="16">
        <v>15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418</v>
      </c>
      <c r="B65" s="16" t="s">
        <v>417</v>
      </c>
      <c r="C65" s="16">
        <v>27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419</v>
      </c>
      <c r="B66" s="16" t="s">
        <v>418</v>
      </c>
      <c r="C66" s="16">
        <v>29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420</v>
      </c>
      <c r="B67" s="16" t="s">
        <v>419</v>
      </c>
      <c r="C67" s="16">
        <v>34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403</v>
      </c>
      <c r="B68" s="16" t="s">
        <v>420</v>
      </c>
      <c r="C68" s="16">
        <v>28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421</v>
      </c>
      <c r="B69" s="16" t="s">
        <v>403</v>
      </c>
      <c r="C69" s="16">
        <v>34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421</v>
      </c>
      <c r="C70" s="16">
        <v>19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122</v>
      </c>
      <c r="B71" s="16" t="s">
        <v>51</v>
      </c>
      <c r="C71" s="16">
        <v>6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123</v>
      </c>
      <c r="B72" s="16" t="s">
        <v>122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124</v>
      </c>
      <c r="B73" s="16" t="s">
        <v>123</v>
      </c>
      <c r="C73" s="16">
        <v>35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422</v>
      </c>
      <c r="B74" s="16" t="s">
        <v>124</v>
      </c>
      <c r="C74" s="16">
        <v>29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423</v>
      </c>
      <c r="B75" s="16" t="s">
        <v>422</v>
      </c>
      <c r="C75" s="16">
        <v>30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424</v>
      </c>
      <c r="B76" s="16" t="s">
        <v>423</v>
      </c>
      <c r="C76" s="16">
        <v>28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425</v>
      </c>
      <c r="B77" s="16" t="s">
        <v>424</v>
      </c>
      <c r="C77" s="16">
        <v>36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426</v>
      </c>
      <c r="B78" s="16" t="s">
        <v>425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427</v>
      </c>
      <c r="B79" s="16" t="s">
        <v>426</v>
      </c>
      <c r="C79" s="16">
        <v>30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131</v>
      </c>
      <c r="B80" s="16" t="s">
        <v>427</v>
      </c>
      <c r="C80" s="16">
        <v>29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387</v>
      </c>
      <c r="B81" s="16" t="s">
        <v>131</v>
      </c>
      <c r="C81" s="16">
        <v>32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10</v>
      </c>
      <c r="C87" s="16">
        <v>10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390</v>
      </c>
      <c r="B89" s="16" t="s">
        <v>408</v>
      </c>
      <c r="C89" s="16">
        <v>35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409</v>
      </c>
      <c r="B90" s="16" t="s">
        <v>390</v>
      </c>
      <c r="C90" s="16">
        <v>29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392</v>
      </c>
      <c r="B91" s="16" t="s">
        <v>409</v>
      </c>
      <c r="C91" s="16">
        <v>27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374</v>
      </c>
      <c r="B92" s="16" t="s">
        <v>392</v>
      </c>
      <c r="C92" s="16">
        <v>37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410</v>
      </c>
      <c r="B93" s="16" t="s">
        <v>374</v>
      </c>
      <c r="C93" s="16">
        <v>30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104</v>
      </c>
      <c r="B94" s="16" t="s">
        <v>410</v>
      </c>
      <c r="C94" s="16">
        <v>24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105</v>
      </c>
      <c r="B95" s="16" t="s">
        <v>104</v>
      </c>
      <c r="C95" s="16">
        <v>32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411</v>
      </c>
      <c r="B96" s="16" t="s">
        <v>105</v>
      </c>
      <c r="C96" s="16">
        <v>33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107</v>
      </c>
      <c r="B97" s="16" t="s">
        <v>411</v>
      </c>
      <c r="C97" s="16">
        <v>29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412</v>
      </c>
      <c r="B98" s="16" t="s">
        <v>107</v>
      </c>
      <c r="C98" s="16">
        <v>34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413</v>
      </c>
      <c r="B99" s="16" t="s">
        <v>412</v>
      </c>
      <c r="C99" s="16">
        <v>32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414</v>
      </c>
      <c r="B100" s="16" t="s">
        <v>413</v>
      </c>
      <c r="C100" s="16">
        <v>27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415</v>
      </c>
      <c r="B101" s="16" t="s">
        <v>414</v>
      </c>
      <c r="C101" s="16">
        <v>33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416</v>
      </c>
      <c r="B102" s="16" t="s">
        <v>415</v>
      </c>
      <c r="C102" s="16">
        <v>26</v>
      </c>
      <c r="D102" s="16" t="s">
        <v>42</v>
      </c>
      <c r="E102" s="16">
        <v>10</v>
      </c>
      <c r="F102" s="16">
        <v>10</v>
      </c>
      <c r="G102" s="16">
        <v>0</v>
      </c>
    </row>
    <row r="103" spans="1:7">
      <c r="A103" s="16" t="s">
        <v>113</v>
      </c>
      <c r="B103" s="16" t="s">
        <v>416</v>
      </c>
      <c r="C103" s="16">
        <v>29</v>
      </c>
      <c r="D103" s="16" t="s">
        <v>42</v>
      </c>
      <c r="E103" s="16">
        <v>10</v>
      </c>
      <c r="F103" s="16">
        <v>10</v>
      </c>
      <c r="G103" s="16">
        <v>0</v>
      </c>
    </row>
    <row r="104" spans="1:7">
      <c r="A104" s="16" t="s">
        <v>60</v>
      </c>
      <c r="B104" s="16" t="s">
        <v>113</v>
      </c>
      <c r="C104" s="16">
        <v>13</v>
      </c>
      <c r="D104" s="16" t="s">
        <v>42</v>
      </c>
      <c r="E104" s="16">
        <v>10</v>
      </c>
      <c r="F104" s="16">
        <v>10</v>
      </c>
      <c r="G104" s="16">
        <v>0</v>
      </c>
    </row>
    <row r="105" spans="1:7">
      <c r="A105" s="16" t="s">
        <v>115</v>
      </c>
      <c r="B105" s="16" t="s">
        <v>60</v>
      </c>
      <c r="C105" s="16">
        <v>28</v>
      </c>
      <c r="D105" s="16" t="s">
        <v>42</v>
      </c>
      <c r="E105" s="16">
        <v>10</v>
      </c>
      <c r="F105" s="16">
        <v>10</v>
      </c>
      <c r="G105" s="16">
        <v>0</v>
      </c>
    </row>
    <row r="106" spans="1:7">
      <c r="A106" s="16" t="s">
        <v>417</v>
      </c>
      <c r="B106" s="16" t="s">
        <v>115</v>
      </c>
      <c r="C106" s="16">
        <v>15</v>
      </c>
      <c r="D106" s="16" t="s">
        <v>42</v>
      </c>
      <c r="E106" s="16">
        <v>10</v>
      </c>
      <c r="F106" s="16">
        <v>10</v>
      </c>
      <c r="G106" s="16">
        <v>0</v>
      </c>
    </row>
    <row r="107" spans="1:7">
      <c r="A107" s="16" t="s">
        <v>418</v>
      </c>
      <c r="B107" s="16" t="s">
        <v>417</v>
      </c>
      <c r="C107" s="16">
        <v>27</v>
      </c>
      <c r="D107" s="16" t="s">
        <v>42</v>
      </c>
      <c r="E107" s="16">
        <v>10</v>
      </c>
      <c r="F107" s="16">
        <v>10</v>
      </c>
      <c r="G107" s="16">
        <v>0</v>
      </c>
    </row>
    <row r="108" spans="1:7">
      <c r="A108" s="16" t="s">
        <v>419</v>
      </c>
      <c r="B108" s="16" t="s">
        <v>418</v>
      </c>
      <c r="C108" s="16">
        <v>29</v>
      </c>
      <c r="D108" s="16" t="s">
        <v>42</v>
      </c>
      <c r="E108" s="16">
        <v>10</v>
      </c>
      <c r="F108" s="16">
        <v>10</v>
      </c>
      <c r="G108" s="16">
        <v>0</v>
      </c>
    </row>
    <row r="109" spans="1:7">
      <c r="A109" s="16" t="s">
        <v>420</v>
      </c>
      <c r="B109" s="16" t="s">
        <v>419</v>
      </c>
      <c r="C109" s="16">
        <v>34</v>
      </c>
      <c r="D109" s="16" t="s">
        <v>42</v>
      </c>
      <c r="E109" s="16">
        <v>10</v>
      </c>
      <c r="F109" s="16">
        <v>10</v>
      </c>
      <c r="G109" s="16">
        <v>0</v>
      </c>
    </row>
    <row r="110" spans="1:7">
      <c r="A110" s="16" t="s">
        <v>403</v>
      </c>
      <c r="B110" s="16" t="s">
        <v>420</v>
      </c>
      <c r="C110" s="16">
        <v>28</v>
      </c>
      <c r="D110" s="16" t="s">
        <v>42</v>
      </c>
      <c r="E110" s="16">
        <v>10</v>
      </c>
      <c r="F110" s="16">
        <v>10</v>
      </c>
      <c r="G110" s="16">
        <v>0</v>
      </c>
    </row>
    <row r="111" spans="1:7">
      <c r="A111" s="16" t="s">
        <v>421</v>
      </c>
      <c r="B111" s="16" t="s">
        <v>403</v>
      </c>
      <c r="C111" s="16">
        <v>34</v>
      </c>
      <c r="D111" s="16" t="s">
        <v>42</v>
      </c>
      <c r="E111" s="16">
        <v>10</v>
      </c>
      <c r="F111" s="16">
        <v>10</v>
      </c>
      <c r="G111" s="16">
        <v>0</v>
      </c>
    </row>
    <row r="112" spans="1:7">
      <c r="A112" s="16" t="s">
        <v>51</v>
      </c>
      <c r="B112" s="16" t="s">
        <v>421</v>
      </c>
      <c r="C112" s="16">
        <v>19</v>
      </c>
      <c r="D112" s="16" t="s">
        <v>42</v>
      </c>
      <c r="E112" s="16">
        <v>10</v>
      </c>
      <c r="F112" s="16">
        <v>10</v>
      </c>
      <c r="G112" s="16">
        <v>0</v>
      </c>
    </row>
    <row r="113" spans="1:7">
      <c r="A113" s="16" t="s">
        <v>122</v>
      </c>
      <c r="B113" s="16" t="s">
        <v>51</v>
      </c>
      <c r="C113" s="16">
        <v>6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123</v>
      </c>
      <c r="B114" s="16" t="s">
        <v>122</v>
      </c>
      <c r="C114" s="16">
        <v>28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124</v>
      </c>
      <c r="B115" s="16" t="s">
        <v>123</v>
      </c>
      <c r="C115" s="16">
        <v>35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422</v>
      </c>
      <c r="B116" s="16" t="s">
        <v>124</v>
      </c>
      <c r="C116" s="16">
        <v>29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423</v>
      </c>
      <c r="B117" s="16" t="s">
        <v>422</v>
      </c>
      <c r="C117" s="16">
        <v>30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424</v>
      </c>
      <c r="B118" s="16" t="s">
        <v>423</v>
      </c>
      <c r="C118" s="16">
        <v>28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425</v>
      </c>
      <c r="B119" s="16" t="s">
        <v>424</v>
      </c>
      <c r="C119" s="16">
        <v>36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426</v>
      </c>
      <c r="B120" s="16" t="s">
        <v>425</v>
      </c>
      <c r="C120" s="16">
        <v>29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427</v>
      </c>
      <c r="B121" s="16" t="s">
        <v>426</v>
      </c>
      <c r="C121" s="16">
        <v>30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131</v>
      </c>
      <c r="B122" s="16" t="s">
        <v>427</v>
      </c>
      <c r="C122" s="16">
        <v>29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387</v>
      </c>
      <c r="B123" s="16" t="s">
        <v>131</v>
      </c>
      <c r="C123" s="16">
        <v>32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751A-052E-4C24-BF39-FC894FF6ED23}">
  <dimension ref="A1:N129"/>
  <sheetViews>
    <sheetView topLeftCell="A19" workbookViewId="0">
      <selection activeCell="E28" sqref="E28:G38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428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1628</v>
      </c>
      <c r="C4" s="16">
        <v>1240</v>
      </c>
      <c r="D4" s="16">
        <v>1790</v>
      </c>
    </row>
    <row r="5" spans="1:14">
      <c r="A5" s="16" t="s">
        <v>36</v>
      </c>
      <c r="B5" s="16">
        <v>35</v>
      </c>
      <c r="C5" s="16">
        <v>26</v>
      </c>
      <c r="D5" s="16">
        <v>39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43951</v>
      </c>
      <c r="B7" s="17">
        <v>43982</v>
      </c>
      <c r="C7" s="16">
        <v>31</v>
      </c>
      <c r="D7" s="16" t="s">
        <v>42</v>
      </c>
      <c r="E7" s="16">
        <v>348</v>
      </c>
      <c r="F7" s="16">
        <v>423</v>
      </c>
      <c r="G7" s="16">
        <v>134</v>
      </c>
      <c r="H7" s="16">
        <f>Tabla32[[#This Row],[P1 + P4]]*VLOOKUP(MONTH(Tabla32[[#This Row],[Fecha final]]),Tabla20[#All],2,FALSE)</f>
        <v>0</v>
      </c>
      <c r="I7" s="16">
        <f>Tabla32[[#This Row],[P2 + P5]]*VLOOKUP(MONTH(Tabla32[[#This Row],[Fecha final]]),Tabla20[#All],3,FALSE)</f>
        <v>0</v>
      </c>
      <c r="J7" s="16">
        <f>(Tabla32[[#This Row],[P3 + P6]])*VLOOKUP(MONTH(Tabla32[[#This Row],[Fecha final]]),Tabla20[#All],4,FALSE)</f>
        <v>0</v>
      </c>
      <c r="K7" s="16">
        <f>Tabla32[[#This Row],[P1 + P4]]*VLOOKUP(MONTH(Tabla32[[#This Row],[Fecha final]]),Tabla20[#All],5,FALSE)</f>
        <v>348</v>
      </c>
      <c r="L7" s="16">
        <f>Tabla32[[#This Row],[P2 + P5]]*VLOOKUP(MONTH(Tabla32[[#This Row],[Fecha final]]),Tabla20[#All],6,FALSE)</f>
        <v>423</v>
      </c>
      <c r="M7" s="16">
        <f>Tabla32[[#This Row],[P3 + P6]]*VLOOKUP(MONTH(Tabla32[[#This Row],[Fecha final]]),Tabla20[#All],7,FALSE)</f>
        <v>134</v>
      </c>
      <c r="N7" s="16">
        <f>YEAR(Tabla32[[#This Row],[Fecha final]])</f>
        <v>2020</v>
      </c>
    </row>
    <row r="8" spans="1:14">
      <c r="A8" s="17">
        <v>43982</v>
      </c>
      <c r="B8" s="17">
        <v>44012</v>
      </c>
      <c r="C8" s="16">
        <v>30</v>
      </c>
      <c r="D8" s="16" t="s">
        <v>42</v>
      </c>
      <c r="E8" s="16">
        <v>415</v>
      </c>
      <c r="F8" s="16">
        <v>488</v>
      </c>
      <c r="G8" s="16">
        <v>136</v>
      </c>
      <c r="H8" s="16">
        <f>Tabla32[[#This Row],[P1 + P4]]*VLOOKUP(MONTH(Tabla32[[#This Row],[Fecha final]]),Tabla20[#All],2,FALSE)</f>
        <v>0</v>
      </c>
      <c r="I8" s="16">
        <f>Tabla32[[#This Row],[P2 + P5]]*VLOOKUP(MONTH(Tabla32[[#This Row],[Fecha final]]),Tabla20[#All],3,FALSE)</f>
        <v>0</v>
      </c>
      <c r="J8" s="16">
        <f>(Tabla32[[#This Row],[P3 + P6]])*VLOOKUP(MONTH(Tabla32[[#This Row],[Fecha final]]),Tabla20[#All],4,FALSE)</f>
        <v>47.572800000000001</v>
      </c>
      <c r="K8" s="16">
        <f>Tabla32[[#This Row],[P1 + P4]]*VLOOKUP(MONTH(Tabla32[[#This Row],[Fecha final]]),Tabla20[#All],5,FALSE)</f>
        <v>415</v>
      </c>
      <c r="L8" s="16">
        <f>Tabla32[[#This Row],[P2 + P5]]*VLOOKUP(MONTH(Tabla32[[#This Row],[Fecha final]]),Tabla20[#All],6,FALSE)</f>
        <v>0</v>
      </c>
      <c r="M8" s="16">
        <f>Tabla32[[#This Row],[P3 + P6]]*VLOOKUP(MONTH(Tabla32[[#This Row],[Fecha final]]),Tabla20[#All],7,FALSE)</f>
        <v>88.427199999999999</v>
      </c>
      <c r="N8" s="16">
        <f>YEAR(Tabla32[[#This Row],[Fecha final]])</f>
        <v>2020</v>
      </c>
    </row>
    <row r="9" spans="1:14">
      <c r="A9" s="17">
        <v>44012</v>
      </c>
      <c r="B9" s="17">
        <v>44043</v>
      </c>
      <c r="C9" s="16">
        <v>31</v>
      </c>
      <c r="D9" s="16" t="s">
        <v>42</v>
      </c>
      <c r="E9" s="16">
        <v>573</v>
      </c>
      <c r="F9" s="16">
        <v>675</v>
      </c>
      <c r="G9" s="16">
        <v>197</v>
      </c>
      <c r="H9" s="16">
        <f>Tabla32[[#This Row],[P1 + P4]]*VLOOKUP(MONTH(Tabla32[[#This Row],[Fecha final]]),Tabla20[#All],2,FALSE)</f>
        <v>573</v>
      </c>
      <c r="I9" s="16">
        <f>Tabla32[[#This Row],[P2 + P5]]*VLOOKUP(MONTH(Tabla32[[#This Row],[Fecha final]]),Tabla20[#All],3,FALSE)</f>
        <v>675</v>
      </c>
      <c r="J9" s="16">
        <f>(Tabla32[[#This Row],[P3 + P6]])*VLOOKUP(MONTH(Tabla32[[#This Row],[Fecha final]]),Tabla20[#All],4,FALSE)</f>
        <v>0</v>
      </c>
      <c r="K9" s="16">
        <f>Tabla32[[#This Row],[P1 + P4]]*VLOOKUP(MONTH(Tabla32[[#This Row],[Fecha final]]),Tabla20[#All],5,FALSE)</f>
        <v>0</v>
      </c>
      <c r="L9" s="16">
        <f>Tabla32[[#This Row],[P2 + P5]]*VLOOKUP(MONTH(Tabla32[[#This Row],[Fecha final]]),Tabla20[#All],6,FALSE)</f>
        <v>0</v>
      </c>
      <c r="M9" s="16">
        <f>Tabla32[[#This Row],[P3 + P6]]*VLOOKUP(MONTH(Tabla32[[#This Row],[Fecha final]]),Tabla20[#All],7,FALSE)</f>
        <v>197</v>
      </c>
      <c r="N9" s="16">
        <f>YEAR(Tabla32[[#This Row],[Fecha final]])</f>
        <v>2020</v>
      </c>
    </row>
    <row r="10" spans="1:14">
      <c r="A10" s="17">
        <v>44043</v>
      </c>
      <c r="B10" s="17">
        <v>44074</v>
      </c>
      <c r="C10" s="16">
        <v>31</v>
      </c>
      <c r="D10" s="16" t="s">
        <v>42</v>
      </c>
      <c r="E10" s="16">
        <v>582</v>
      </c>
      <c r="F10" s="16">
        <v>731</v>
      </c>
      <c r="G10" s="16">
        <v>220</v>
      </c>
      <c r="H10" s="16">
        <f>Tabla32[[#This Row],[P1 + P4]]*VLOOKUP(MONTH(Tabla32[[#This Row],[Fecha final]]),Tabla20[#All],2,FALSE)</f>
        <v>0</v>
      </c>
      <c r="I10" s="16">
        <f>Tabla32[[#This Row],[P2 + P5]]*VLOOKUP(MONTH(Tabla32[[#This Row],[Fecha final]]),Tabla20[#All],3,FALSE)</f>
        <v>0</v>
      </c>
      <c r="J10" s="16">
        <f>(Tabla32[[#This Row],[P3 + P6]])*VLOOKUP(MONTH(Tabla32[[#This Row],[Fecha final]]),Tabla20[#All],4,FALSE)</f>
        <v>73.832000000000008</v>
      </c>
      <c r="K10" s="16">
        <f>Tabla32[[#This Row],[P1 + P4]]*VLOOKUP(MONTH(Tabla32[[#This Row],[Fecha final]]),Tabla20[#All],5,FALSE)</f>
        <v>582</v>
      </c>
      <c r="L10" s="16">
        <f>Tabla32[[#This Row],[P2 + P5]]*VLOOKUP(MONTH(Tabla32[[#This Row],[Fecha final]]),Tabla20[#All],6,FALSE)</f>
        <v>0</v>
      </c>
      <c r="M10" s="16">
        <f>Tabla32[[#This Row],[P3 + P6]]*VLOOKUP(MONTH(Tabla32[[#This Row],[Fecha final]]),Tabla20[#All],7,FALSE)</f>
        <v>146.16800000000001</v>
      </c>
      <c r="N10" s="16">
        <f>YEAR(Tabla32[[#This Row],[Fecha final]])</f>
        <v>2020</v>
      </c>
    </row>
    <row r="11" spans="1:14">
      <c r="A11" s="17">
        <v>44074</v>
      </c>
      <c r="B11" s="17">
        <v>44104</v>
      </c>
      <c r="C11" s="16">
        <v>30</v>
      </c>
      <c r="D11" s="16" t="s">
        <v>42</v>
      </c>
      <c r="E11" s="16">
        <v>498</v>
      </c>
      <c r="F11" s="16">
        <v>715</v>
      </c>
      <c r="G11" s="16">
        <v>187</v>
      </c>
      <c r="H11" s="16">
        <f>Tabla32[[#This Row],[P1 + P4]]*VLOOKUP(MONTH(Tabla32[[#This Row],[Fecha final]]),Tabla20[#All],2,FALSE)</f>
        <v>0</v>
      </c>
      <c r="I11" s="16">
        <f>Tabla32[[#This Row],[P2 + P5]]*VLOOKUP(MONTH(Tabla32[[#This Row],[Fecha final]]),Tabla20[#All],3,FALSE)</f>
        <v>0</v>
      </c>
      <c r="J11" s="16">
        <f>(Tabla32[[#This Row],[P3 + P6]])*VLOOKUP(MONTH(Tabla32[[#This Row],[Fecha final]]),Tabla20[#All],4,FALSE)</f>
        <v>65.412599999999998</v>
      </c>
      <c r="K11" s="16">
        <f>Tabla32[[#This Row],[P1 + P4]]*VLOOKUP(MONTH(Tabla32[[#This Row],[Fecha final]]),Tabla20[#All],5,FALSE)</f>
        <v>498</v>
      </c>
      <c r="L11" s="16">
        <f>Tabla32[[#This Row],[P2 + P5]]*VLOOKUP(MONTH(Tabla32[[#This Row],[Fecha final]]),Tabla20[#All],6,FALSE)</f>
        <v>0</v>
      </c>
      <c r="M11" s="16">
        <f>Tabla32[[#This Row],[P3 + P6]]*VLOOKUP(MONTH(Tabla32[[#This Row],[Fecha final]]),Tabla20[#All],7,FALSE)</f>
        <v>121.5874</v>
      </c>
      <c r="N11" s="16">
        <f>YEAR(Tabla32[[#This Row],[Fecha final]])</f>
        <v>2020</v>
      </c>
    </row>
    <row r="12" spans="1:14">
      <c r="A12" s="17">
        <v>44104</v>
      </c>
      <c r="B12" s="17">
        <v>44135</v>
      </c>
      <c r="C12" s="16">
        <v>31</v>
      </c>
      <c r="D12" s="16" t="s">
        <v>42</v>
      </c>
      <c r="E12" s="16">
        <v>364</v>
      </c>
      <c r="F12" s="16">
        <v>816</v>
      </c>
      <c r="G12" s="16">
        <v>174</v>
      </c>
      <c r="H12" s="16">
        <f>Tabla32[[#This Row],[P1 + P4]]*VLOOKUP(MONTH(Tabla32[[#This Row],[Fecha final]]),Tabla20[#All],2,FALSE)</f>
        <v>0</v>
      </c>
      <c r="I12" s="16">
        <f>Tabla32[[#This Row],[P2 + P5]]*VLOOKUP(MONTH(Tabla32[[#This Row],[Fecha final]]),Tabla20[#All],3,FALSE)</f>
        <v>0</v>
      </c>
      <c r="J12" s="16">
        <f>(Tabla32[[#This Row],[P3 + P6]])*VLOOKUP(MONTH(Tabla32[[#This Row],[Fecha final]]),Tabla20[#All],4,FALSE)</f>
        <v>0</v>
      </c>
      <c r="K12" s="16">
        <f>Tabla32[[#This Row],[P1 + P4]]*VLOOKUP(MONTH(Tabla32[[#This Row],[Fecha final]]),Tabla20[#All],5,FALSE)</f>
        <v>364</v>
      </c>
      <c r="L12" s="16">
        <f>Tabla32[[#This Row],[P2 + P5]]*VLOOKUP(MONTH(Tabla32[[#This Row],[Fecha final]]),Tabla20[#All],6,FALSE)</f>
        <v>816</v>
      </c>
      <c r="M12" s="16">
        <f>Tabla32[[#This Row],[P3 + P6]]*VLOOKUP(MONTH(Tabla32[[#This Row],[Fecha final]]),Tabla20[#All],7,FALSE)</f>
        <v>174</v>
      </c>
      <c r="N12" s="16">
        <f>YEAR(Tabla32[[#This Row],[Fecha final]])</f>
        <v>2020</v>
      </c>
    </row>
    <row r="13" spans="1:14">
      <c r="A13" s="17">
        <v>44135</v>
      </c>
      <c r="B13" s="17">
        <v>44165</v>
      </c>
      <c r="C13" s="16">
        <v>30</v>
      </c>
      <c r="D13" s="16" t="s">
        <v>42</v>
      </c>
      <c r="E13" s="16">
        <v>256</v>
      </c>
      <c r="F13" s="16">
        <v>1493</v>
      </c>
      <c r="G13" s="16">
        <v>335</v>
      </c>
      <c r="H13" s="16">
        <f>Tabla32[[#This Row],[P1 + P4]]*VLOOKUP(MONTH(Tabla32[[#This Row],[Fecha final]]),Tabla20[#All],2,FALSE)</f>
        <v>0</v>
      </c>
      <c r="I13" s="16">
        <f>Tabla32[[#This Row],[P2 + P5]]*VLOOKUP(MONTH(Tabla32[[#This Row],[Fecha final]]),Tabla20[#All],3,FALSE)</f>
        <v>1493</v>
      </c>
      <c r="J13" s="16">
        <f>(Tabla32[[#This Row],[P3 + P6]])*VLOOKUP(MONTH(Tabla32[[#This Row],[Fecha final]]),Tabla20[#All],4,FALSE)</f>
        <v>92.727999999999994</v>
      </c>
      <c r="K13" s="16">
        <f>Tabla32[[#This Row],[P1 + P4]]*VLOOKUP(MONTH(Tabla32[[#This Row],[Fecha final]]),Tabla20[#All],5,FALSE)</f>
        <v>0</v>
      </c>
      <c r="L13" s="16">
        <f>Tabla32[[#This Row],[P2 + P5]]*VLOOKUP(MONTH(Tabla32[[#This Row],[Fecha final]]),Tabla20[#All],6,FALSE)</f>
        <v>0</v>
      </c>
      <c r="M13" s="16">
        <f>Tabla32[[#This Row],[P3 + P6]]*VLOOKUP(MONTH(Tabla32[[#This Row],[Fecha final]]),Tabla20[#All],7,FALSE)</f>
        <v>242.27199999999999</v>
      </c>
      <c r="N13" s="16">
        <f>YEAR(Tabla32[[#This Row],[Fecha final]])</f>
        <v>2020</v>
      </c>
    </row>
    <row r="14" spans="1:14">
      <c r="A14" s="17">
        <v>44165</v>
      </c>
      <c r="B14" s="17">
        <v>44196</v>
      </c>
      <c r="C14" s="16">
        <v>31</v>
      </c>
      <c r="D14" s="16" t="s">
        <v>42</v>
      </c>
      <c r="E14" s="16">
        <v>316</v>
      </c>
      <c r="F14" s="16">
        <v>1846</v>
      </c>
      <c r="G14" s="16">
        <v>533</v>
      </c>
      <c r="H14" s="16">
        <f>Tabla32[[#This Row],[P1 + P4]]*VLOOKUP(MONTH(Tabla32[[#This Row],[Fecha final]]),Tabla20[#All],2,FALSE)</f>
        <v>316</v>
      </c>
      <c r="I14" s="16">
        <f>Tabla32[[#This Row],[P2 + P5]]*VLOOKUP(MONTH(Tabla32[[#This Row],[Fecha final]]),Tabla20[#All],3,FALSE)</f>
        <v>1846</v>
      </c>
      <c r="J14" s="16">
        <f>(Tabla32[[#This Row],[P3 + P6]])*VLOOKUP(MONTH(Tabla32[[#This Row],[Fecha final]]),Tabla20[#All],4,FALSE)</f>
        <v>0</v>
      </c>
      <c r="K14" s="16">
        <f>Tabla32[[#This Row],[P1 + P4]]*VLOOKUP(MONTH(Tabla32[[#This Row],[Fecha final]]),Tabla20[#All],5,FALSE)</f>
        <v>0</v>
      </c>
      <c r="L14" s="16">
        <f>Tabla32[[#This Row],[P2 + P5]]*VLOOKUP(MONTH(Tabla32[[#This Row],[Fecha final]]),Tabla20[#All],6,FALSE)</f>
        <v>0</v>
      </c>
      <c r="M14" s="16">
        <f>Tabla32[[#This Row],[P3 + P6]]*VLOOKUP(MONTH(Tabla32[[#This Row],[Fecha final]]),Tabla20[#All],7,FALSE)</f>
        <v>533</v>
      </c>
      <c r="N14" s="16">
        <f>YEAR(Tabla32[[#This Row],[Fecha final]])</f>
        <v>2020</v>
      </c>
    </row>
    <row r="15" spans="1:14">
      <c r="A15" s="17">
        <v>44196</v>
      </c>
      <c r="B15" s="17">
        <v>44228</v>
      </c>
      <c r="C15" s="16">
        <v>32</v>
      </c>
      <c r="D15" s="16" t="s">
        <v>42</v>
      </c>
      <c r="E15" s="16">
        <v>406</v>
      </c>
      <c r="F15" s="16">
        <v>2393</v>
      </c>
      <c r="G15" s="16">
        <v>737</v>
      </c>
      <c r="H15" s="16">
        <f>Tabla32[[#This Row],[P1 + P4]]*VLOOKUP(MONTH(Tabla32[[#This Row],[Fecha final]]),Tabla20[#All],2,FALSE)</f>
        <v>406</v>
      </c>
      <c r="I15" s="16">
        <f>Tabla32[[#This Row],[P2 + P5]]*VLOOKUP(MONTH(Tabla32[[#This Row],[Fecha final]]),Tabla20[#All],3,FALSE)</f>
        <v>2393</v>
      </c>
      <c r="J15" s="16">
        <f>(Tabla32[[#This Row],[P3 + P6]])*VLOOKUP(MONTH(Tabla32[[#This Row],[Fecha final]]),Tabla20[#All],4,FALSE)</f>
        <v>0</v>
      </c>
      <c r="K15" s="16">
        <f>Tabla32[[#This Row],[P1 + P4]]*VLOOKUP(MONTH(Tabla32[[#This Row],[Fecha final]]),Tabla20[#All],5,FALSE)</f>
        <v>0</v>
      </c>
      <c r="L15" s="16">
        <f>Tabla32[[#This Row],[P2 + P5]]*VLOOKUP(MONTH(Tabla32[[#This Row],[Fecha final]]),Tabla20[#All],6,FALSE)</f>
        <v>0</v>
      </c>
      <c r="M15" s="16">
        <f>Tabla32[[#This Row],[P3 + P6]]*VLOOKUP(MONTH(Tabla32[[#This Row],[Fecha final]]),Tabla20[#All],7,FALSE)</f>
        <v>737</v>
      </c>
      <c r="N15" s="16">
        <f>YEAR(Tabla32[[#This Row],[Fecha final]])</f>
        <v>2021</v>
      </c>
    </row>
    <row r="16" spans="1:14">
      <c r="A16" s="17">
        <v>44228</v>
      </c>
      <c r="B16" s="17">
        <v>44256</v>
      </c>
      <c r="C16" s="16">
        <v>28</v>
      </c>
      <c r="D16" s="16" t="s">
        <v>42</v>
      </c>
      <c r="E16" s="16">
        <v>924</v>
      </c>
      <c r="F16" s="16">
        <v>2772</v>
      </c>
      <c r="G16" s="16">
        <v>1848</v>
      </c>
      <c r="H16" s="16">
        <f>Tabla32[[#This Row],[P1 + P4]]*VLOOKUP(MONTH(Tabla32[[#This Row],[Fecha final]]),Tabla20[#All],2,FALSE)</f>
        <v>0</v>
      </c>
      <c r="I16" s="16">
        <f>Tabla32[[#This Row],[P2 + P5]]*VLOOKUP(MONTH(Tabla32[[#This Row],[Fecha final]]),Tabla20[#All],3,FALSE)</f>
        <v>2772</v>
      </c>
      <c r="J16" s="16">
        <f>(Tabla32[[#This Row],[P3 + P6]])*VLOOKUP(MONTH(Tabla32[[#This Row],[Fecha final]]),Tabla20[#All],4,FALSE)</f>
        <v>554.03039999999999</v>
      </c>
      <c r="K16" s="16">
        <f>Tabla32[[#This Row],[P1 + P4]]*VLOOKUP(MONTH(Tabla32[[#This Row],[Fecha final]]),Tabla20[#All],5,FALSE)</f>
        <v>0</v>
      </c>
      <c r="L16" s="16">
        <f>Tabla32[[#This Row],[P2 + P5]]*VLOOKUP(MONTH(Tabla32[[#This Row],[Fecha final]]),Tabla20[#All],6,FALSE)</f>
        <v>0</v>
      </c>
      <c r="M16" s="16">
        <f>Tabla32[[#This Row],[P3 + P6]]*VLOOKUP(MONTH(Tabla32[[#This Row],[Fecha final]]),Tabla20[#All],7,FALSE)</f>
        <v>1293.9696000000001</v>
      </c>
      <c r="N16" s="16">
        <f>YEAR(Tabla32[[#This Row],[Fecha final]])</f>
        <v>2021</v>
      </c>
    </row>
    <row r="17" spans="1:14">
      <c r="A17" s="17">
        <v>44256</v>
      </c>
      <c r="B17" s="17">
        <v>44304</v>
      </c>
      <c r="C17" s="16">
        <v>48</v>
      </c>
      <c r="D17" s="16" t="s">
        <v>42</v>
      </c>
      <c r="E17" s="16">
        <v>195</v>
      </c>
      <c r="F17" s="16">
        <v>668</v>
      </c>
      <c r="G17" s="16">
        <v>227</v>
      </c>
      <c r="H17" s="16">
        <f>Tabla32[[#This Row],[P1 + P4]]*VLOOKUP(MONTH(Tabla32[[#This Row],[Fecha final]]),Tabla20[#All],2,FALSE)</f>
        <v>0</v>
      </c>
      <c r="I17" s="16">
        <f>Tabla32[[#This Row],[P2 + P5]]*VLOOKUP(MONTH(Tabla32[[#This Row],[Fecha final]]),Tabla20[#All],3,FALSE)</f>
        <v>0</v>
      </c>
      <c r="J17" s="16">
        <f>(Tabla32[[#This Row],[P3 + P6]])*VLOOKUP(MONTH(Tabla32[[#This Row],[Fecha final]]),Tabla20[#All],4,FALSE)</f>
        <v>0</v>
      </c>
      <c r="K17" s="16">
        <f>Tabla32[[#This Row],[P1 + P4]]*VLOOKUP(MONTH(Tabla32[[#This Row],[Fecha final]]),Tabla20[#All],5,FALSE)</f>
        <v>195</v>
      </c>
      <c r="L17" s="16">
        <f>Tabla32[[#This Row],[P2 + P5]]*VLOOKUP(MONTH(Tabla32[[#This Row],[Fecha final]]),Tabla20[#All],6,FALSE)</f>
        <v>668</v>
      </c>
      <c r="M17" s="16">
        <f>Tabla32[[#This Row],[P3 + P6]]*VLOOKUP(MONTH(Tabla32[[#This Row],[Fecha final]]),Tabla20[#All],7,FALSE)</f>
        <v>227</v>
      </c>
      <c r="N17" s="16">
        <f>YEAR(Tabla32[[#This Row],[Fecha final]])</f>
        <v>2021</v>
      </c>
    </row>
    <row r="18" spans="1:14">
      <c r="A18" s="17">
        <v>44304</v>
      </c>
      <c r="B18" s="17">
        <v>44316</v>
      </c>
      <c r="C18" s="16">
        <v>12</v>
      </c>
      <c r="D18" s="16" t="s">
        <v>42</v>
      </c>
      <c r="E18" s="16">
        <v>0</v>
      </c>
      <c r="F18" s="16">
        <v>0</v>
      </c>
      <c r="G18" s="16">
        <v>0</v>
      </c>
      <c r="H18" s="16">
        <f>Tabla32[[#This Row],[P1 + P4]]*VLOOKUP(MONTH(Tabla32[[#This Row],[Fecha final]]),Tabla20[#All],2,FALSE)</f>
        <v>0</v>
      </c>
      <c r="I18" s="16">
        <f>Tabla32[[#This Row],[P2 + P5]]*VLOOKUP(MONTH(Tabla32[[#This Row],[Fecha final]]),Tabla20[#All],3,FALSE)</f>
        <v>0</v>
      </c>
      <c r="J18" s="16">
        <f>(Tabla32[[#This Row],[P3 + P6]])*VLOOKUP(MONTH(Tabla32[[#This Row],[Fecha final]]),Tabla20[#All],4,FALSE)</f>
        <v>0</v>
      </c>
      <c r="K18" s="16">
        <f>Tabla32[[#This Row],[P1 + P4]]*VLOOKUP(MONTH(Tabla32[[#This Row],[Fecha final]]),Tabla20[#All],5,FALSE)</f>
        <v>0</v>
      </c>
      <c r="L18" s="16">
        <f>Tabla32[[#This Row],[P2 + P5]]*VLOOKUP(MONTH(Tabla32[[#This Row],[Fecha final]]),Tabla20[#All],6,FALSE)</f>
        <v>0</v>
      </c>
      <c r="M18" s="16">
        <f>Tabla32[[#This Row],[P3 + P6]]*VLOOKUP(MONTH(Tabla32[[#This Row],[Fecha final]]),Tabla20[#All],7,FALSE)</f>
        <v>0</v>
      </c>
      <c r="N18" s="16">
        <f>YEAR(Tabla32[[#This Row],[Fecha final]])</f>
        <v>2021</v>
      </c>
    </row>
    <row r="19" spans="1:14">
      <c r="A19" s="17">
        <v>44316</v>
      </c>
      <c r="B19" s="17">
        <v>44347</v>
      </c>
      <c r="C19" s="16">
        <v>31</v>
      </c>
      <c r="D19" s="16" t="s">
        <v>42</v>
      </c>
      <c r="E19" s="16">
        <v>0</v>
      </c>
      <c r="F19" s="16">
        <v>0</v>
      </c>
      <c r="G19" s="16">
        <v>0</v>
      </c>
      <c r="H19" s="16">
        <f>Tabla32[[#This Row],[P1 + P4]]*VLOOKUP(MONTH(Tabla32[[#This Row],[Fecha final]]),Tabla20[#All],2,FALSE)</f>
        <v>0</v>
      </c>
      <c r="I19" s="16">
        <f>Tabla32[[#This Row],[P2 + P5]]*VLOOKUP(MONTH(Tabla32[[#This Row],[Fecha final]]),Tabla20[#All],3,FALSE)</f>
        <v>0</v>
      </c>
      <c r="J19" s="16">
        <f>(Tabla32[[#This Row],[P3 + P6]])*VLOOKUP(MONTH(Tabla32[[#This Row],[Fecha final]]),Tabla20[#All],4,FALSE)</f>
        <v>0</v>
      </c>
      <c r="K19" s="16">
        <f>Tabla32[[#This Row],[P1 + P4]]*VLOOKUP(MONTH(Tabla32[[#This Row],[Fecha final]]),Tabla20[#All],5,FALSE)</f>
        <v>0</v>
      </c>
      <c r="L19" s="16">
        <f>Tabla32[[#This Row],[P2 + P5]]*VLOOKUP(MONTH(Tabla32[[#This Row],[Fecha final]]),Tabla20[#All],6,FALSE)</f>
        <v>0</v>
      </c>
      <c r="M19" s="16">
        <f>Tabla32[[#This Row],[P3 + P6]]*VLOOKUP(MONTH(Tabla32[[#This Row],[Fecha final]]),Tabla20[#All],7,FALSE)</f>
        <v>0</v>
      </c>
      <c r="N19" s="16">
        <f>YEAR(Tabla32[[#This Row],[Fecha final]])</f>
        <v>2021</v>
      </c>
    </row>
    <row r="20" spans="1:14">
      <c r="A20" s="17">
        <v>44347</v>
      </c>
      <c r="B20" s="17">
        <v>44377</v>
      </c>
      <c r="C20" s="16">
        <v>30</v>
      </c>
      <c r="D20" s="16" t="s">
        <v>42</v>
      </c>
      <c r="E20" s="16">
        <v>0</v>
      </c>
      <c r="F20" s="16">
        <v>0</v>
      </c>
      <c r="G20" s="16">
        <v>0</v>
      </c>
      <c r="H20" s="16">
        <f>Tabla32[[#This Row],[P1 + P4]]*VLOOKUP(MONTH(Tabla32[[#This Row],[Fecha final]]),Tabla20[#All],2,FALSE)</f>
        <v>0</v>
      </c>
      <c r="I20" s="16">
        <f>Tabla32[[#This Row],[P2 + P5]]*VLOOKUP(MONTH(Tabla32[[#This Row],[Fecha final]]),Tabla20[#All],3,FALSE)</f>
        <v>0</v>
      </c>
      <c r="J20" s="16">
        <f>(Tabla32[[#This Row],[P3 + P6]])*VLOOKUP(MONTH(Tabla32[[#This Row],[Fecha final]]),Tabla20[#All],4,FALSE)</f>
        <v>0</v>
      </c>
      <c r="K20" s="16">
        <f>Tabla32[[#This Row],[P1 + P4]]*VLOOKUP(MONTH(Tabla32[[#This Row],[Fecha final]]),Tabla20[#All],5,FALSE)</f>
        <v>0</v>
      </c>
      <c r="L20" s="16">
        <f>Tabla32[[#This Row],[P2 + P5]]*VLOOKUP(MONTH(Tabla32[[#This Row],[Fecha final]]),Tabla20[#All],6,FALSE)</f>
        <v>0</v>
      </c>
      <c r="M20" s="16">
        <f>Tabla32[[#This Row],[P3 + P6]]*VLOOKUP(MONTH(Tabla32[[#This Row],[Fecha final]]),Tabla20[#All],7,FALSE)</f>
        <v>0</v>
      </c>
      <c r="N20" s="16">
        <f>YEAR(Tabla32[[#This Row],[Fecha final]])</f>
        <v>2021</v>
      </c>
    </row>
    <row r="21" spans="1:14">
      <c r="A21" s="17">
        <v>44377</v>
      </c>
      <c r="B21" s="17">
        <v>44408</v>
      </c>
      <c r="C21" s="16">
        <v>31</v>
      </c>
      <c r="D21" s="16" t="s">
        <v>42</v>
      </c>
      <c r="E21" s="16">
        <v>247</v>
      </c>
      <c r="F21" s="16">
        <v>166</v>
      </c>
      <c r="G21" s="16">
        <v>231</v>
      </c>
      <c r="H21" s="16">
        <f>Tabla32[[#This Row],[P1 + P4]]*VLOOKUP(MONTH(Tabla32[[#This Row],[Fecha final]]),Tabla20[#All],2,FALSE)</f>
        <v>247</v>
      </c>
      <c r="I21" s="16">
        <f>Tabla32[[#This Row],[P2 + P5]]*VLOOKUP(MONTH(Tabla32[[#This Row],[Fecha final]]),Tabla20[#All],3,FALSE)</f>
        <v>166</v>
      </c>
      <c r="J21" s="16">
        <f>(Tabla32[[#This Row],[P3 + P6]])*VLOOKUP(MONTH(Tabla32[[#This Row],[Fecha final]]),Tabla20[#All],4,FALSE)</f>
        <v>0</v>
      </c>
      <c r="K21" s="16">
        <f>Tabla32[[#This Row],[P1 + P4]]*VLOOKUP(MONTH(Tabla32[[#This Row],[Fecha final]]),Tabla20[#All],5,FALSE)</f>
        <v>0</v>
      </c>
      <c r="L21" s="16">
        <f>Tabla32[[#This Row],[P2 + P5]]*VLOOKUP(MONTH(Tabla32[[#This Row],[Fecha final]]),Tabla20[#All],6,FALSE)</f>
        <v>0</v>
      </c>
      <c r="M21" s="16">
        <f>Tabla32[[#This Row],[P3 + P6]]*VLOOKUP(MONTH(Tabla32[[#This Row],[Fecha final]]),Tabla20[#All],7,FALSE)</f>
        <v>231</v>
      </c>
      <c r="N21" s="16">
        <f>YEAR(Tabla32[[#This Row],[Fecha final]])</f>
        <v>2021</v>
      </c>
    </row>
    <row r="22" spans="1:14">
      <c r="A22" s="17">
        <v>44408</v>
      </c>
      <c r="B22" s="17">
        <v>44418</v>
      </c>
      <c r="C22" s="16">
        <v>10</v>
      </c>
      <c r="D22" s="16" t="s">
        <v>42</v>
      </c>
      <c r="E22" s="16">
        <v>43</v>
      </c>
      <c r="F22" s="16">
        <v>0</v>
      </c>
      <c r="G22" s="16">
        <v>124</v>
      </c>
      <c r="H22" s="16">
        <f>Tabla32[[#This Row],[P1 + P4]]*VLOOKUP(MONTH(Tabla32[[#This Row],[Fecha final]]),Tabla20[#All],2,FALSE)</f>
        <v>0</v>
      </c>
      <c r="I22" s="16">
        <f>Tabla32[[#This Row],[P2 + P5]]*VLOOKUP(MONTH(Tabla32[[#This Row],[Fecha final]]),Tabla20[#All],3,FALSE)</f>
        <v>0</v>
      </c>
      <c r="J22" s="16">
        <f>(Tabla32[[#This Row],[P3 + P6]])*VLOOKUP(MONTH(Tabla32[[#This Row],[Fecha final]]),Tabla20[#All],4,FALSE)</f>
        <v>41.614400000000003</v>
      </c>
      <c r="K22" s="16">
        <f>Tabla32[[#This Row],[P1 + P4]]*VLOOKUP(MONTH(Tabla32[[#This Row],[Fecha final]]),Tabla20[#All],5,FALSE)</f>
        <v>43</v>
      </c>
      <c r="L22" s="16">
        <f>Tabla32[[#This Row],[P2 + P5]]*VLOOKUP(MONTH(Tabla32[[#This Row],[Fecha final]]),Tabla20[#All],6,FALSE)</f>
        <v>0</v>
      </c>
      <c r="M22" s="16">
        <f>Tabla32[[#This Row],[P3 + P6]]*VLOOKUP(MONTH(Tabla32[[#This Row],[Fecha final]]),Tabla20[#All],7,FALSE)</f>
        <v>82.385599999999997</v>
      </c>
      <c r="N22" s="16">
        <f>YEAR(Tabla32[[#This Row],[Fecha final]])</f>
        <v>2021</v>
      </c>
    </row>
    <row r="23" spans="1:14">
      <c r="A23" s="17">
        <v>44418</v>
      </c>
      <c r="B23" s="17">
        <v>44439</v>
      </c>
      <c r="C23" s="16">
        <v>21</v>
      </c>
      <c r="D23" s="16" t="s">
        <v>42</v>
      </c>
      <c r="E23" s="16">
        <v>91</v>
      </c>
      <c r="F23" s="16">
        <v>0</v>
      </c>
      <c r="G23" s="16">
        <v>261</v>
      </c>
      <c r="H23" s="16">
        <f>Tabla32[[#This Row],[P1 + P4]]*VLOOKUP(MONTH(Tabla32[[#This Row],[Fecha final]]),Tabla20[#All],2,FALSE)</f>
        <v>0</v>
      </c>
      <c r="I23" s="16">
        <f>Tabla32[[#This Row],[P2 + P5]]*VLOOKUP(MONTH(Tabla32[[#This Row],[Fecha final]]),Tabla20[#All],3,FALSE)</f>
        <v>0</v>
      </c>
      <c r="J23" s="16">
        <f>(Tabla32[[#This Row],[P3 + P6]])*VLOOKUP(MONTH(Tabla32[[#This Row],[Fecha final]]),Tabla20[#All],4,FALSE)</f>
        <v>87.5916</v>
      </c>
      <c r="K23" s="16">
        <f>Tabla32[[#This Row],[P1 + P4]]*VLOOKUP(MONTH(Tabla32[[#This Row],[Fecha final]]),Tabla20[#All],5,FALSE)</f>
        <v>91</v>
      </c>
      <c r="L23" s="16">
        <f>Tabla32[[#This Row],[P2 + P5]]*VLOOKUP(MONTH(Tabla32[[#This Row],[Fecha final]]),Tabla20[#All],6,FALSE)</f>
        <v>0</v>
      </c>
      <c r="M23" s="16">
        <f>Tabla32[[#This Row],[P3 + P6]]*VLOOKUP(MONTH(Tabla32[[#This Row],[Fecha final]]),Tabla20[#All],7,FALSE)</f>
        <v>173.4084</v>
      </c>
      <c r="N23" s="16">
        <f>YEAR(Tabla32[[#This Row],[Fecha final]])</f>
        <v>2021</v>
      </c>
    </row>
    <row r="24" spans="1:14">
      <c r="A24" s="17">
        <v>44439</v>
      </c>
      <c r="B24" s="17">
        <v>44469</v>
      </c>
      <c r="C24" s="16">
        <v>30</v>
      </c>
      <c r="D24" s="16" t="s">
        <v>42</v>
      </c>
      <c r="E24" s="16">
        <v>127</v>
      </c>
      <c r="F24" s="16">
        <v>0</v>
      </c>
      <c r="G24" s="16">
        <v>324</v>
      </c>
      <c r="H24" s="16">
        <f>Tabla32[[#This Row],[P1 + P4]]*VLOOKUP(MONTH(Tabla32[[#This Row],[Fecha final]]),Tabla20[#All],2,FALSE)</f>
        <v>0</v>
      </c>
      <c r="I24" s="16">
        <f>Tabla32[[#This Row],[P2 + P5]]*VLOOKUP(MONTH(Tabla32[[#This Row],[Fecha final]]),Tabla20[#All],3,FALSE)</f>
        <v>0</v>
      </c>
      <c r="J24" s="16">
        <f>(Tabla32[[#This Row],[P3 + P6]])*VLOOKUP(MONTH(Tabla32[[#This Row],[Fecha final]]),Tabla20[#All],4,FALSE)</f>
        <v>113.3352</v>
      </c>
      <c r="K24" s="16">
        <f>Tabla32[[#This Row],[P1 + P4]]*VLOOKUP(MONTH(Tabla32[[#This Row],[Fecha final]]),Tabla20[#All],5,FALSE)</f>
        <v>127</v>
      </c>
      <c r="L24" s="16">
        <f>Tabla32[[#This Row],[P2 + P5]]*VLOOKUP(MONTH(Tabla32[[#This Row],[Fecha final]]),Tabla20[#All],6,FALSE)</f>
        <v>0</v>
      </c>
      <c r="M24" s="16">
        <f>Tabla32[[#This Row],[P3 + P6]]*VLOOKUP(MONTH(Tabla32[[#This Row],[Fecha final]]),Tabla20[#All],7,FALSE)</f>
        <v>210.66480000000001</v>
      </c>
      <c r="N24" s="16">
        <f>YEAR(Tabla32[[#This Row],[Fecha final]])</f>
        <v>2021</v>
      </c>
    </row>
    <row r="25" spans="1:14">
      <c r="A25" s="17">
        <v>44469</v>
      </c>
      <c r="B25" s="17">
        <v>44500</v>
      </c>
      <c r="C25" s="16">
        <v>31</v>
      </c>
      <c r="D25" s="16" t="s">
        <v>42</v>
      </c>
      <c r="E25" s="16">
        <v>135</v>
      </c>
      <c r="F25" s="16">
        <v>123</v>
      </c>
      <c r="G25" s="16">
        <v>190</v>
      </c>
      <c r="H25" s="16">
        <f>Tabla32[[#This Row],[P1 + P4]]*VLOOKUP(MONTH(Tabla32[[#This Row],[Fecha final]]),Tabla20[#All],2,FALSE)</f>
        <v>0</v>
      </c>
      <c r="I25" s="16">
        <f>Tabla32[[#This Row],[P2 + P5]]*VLOOKUP(MONTH(Tabla32[[#This Row],[Fecha final]]),Tabla20[#All],3,FALSE)</f>
        <v>0</v>
      </c>
      <c r="J25" s="16">
        <f>(Tabla32[[#This Row],[P3 + P6]])*VLOOKUP(MONTH(Tabla32[[#This Row],[Fecha final]]),Tabla20[#All],4,FALSE)</f>
        <v>0</v>
      </c>
      <c r="K25" s="16">
        <f>Tabla32[[#This Row],[P1 + P4]]*VLOOKUP(MONTH(Tabla32[[#This Row],[Fecha final]]),Tabla20[#All],5,FALSE)</f>
        <v>135</v>
      </c>
      <c r="L25" s="16">
        <f>Tabla32[[#This Row],[P2 + P5]]*VLOOKUP(MONTH(Tabla32[[#This Row],[Fecha final]]),Tabla20[#All],6,FALSE)</f>
        <v>123</v>
      </c>
      <c r="M25" s="16">
        <f>Tabla32[[#This Row],[P3 + P6]]*VLOOKUP(MONTH(Tabla32[[#This Row],[Fecha final]]),Tabla20[#All],7,FALSE)</f>
        <v>190</v>
      </c>
      <c r="N25" s="16">
        <f>YEAR(Tabla32[[#This Row],[Fecha final]])</f>
        <v>2021</v>
      </c>
    </row>
    <row r="26" spans="1:14">
      <c r="A26" s="17">
        <v>44500</v>
      </c>
      <c r="B26" s="17">
        <v>44523</v>
      </c>
      <c r="C26" s="16">
        <v>23</v>
      </c>
      <c r="D26" s="16" t="s">
        <v>42</v>
      </c>
      <c r="E26" s="16">
        <v>0</v>
      </c>
      <c r="F26" s="16">
        <v>89</v>
      </c>
      <c r="G26" s="16">
        <v>259</v>
      </c>
      <c r="H26" s="16">
        <f>Tabla32[[#This Row],[P1 + P4]]*VLOOKUP(MONTH(Tabla32[[#This Row],[Fecha final]]),Tabla20[#All],2,FALSE)</f>
        <v>0</v>
      </c>
      <c r="I26" s="16">
        <f>Tabla32[[#This Row],[P2 + P5]]*VLOOKUP(MONTH(Tabla32[[#This Row],[Fecha final]]),Tabla20[#All],3,FALSE)</f>
        <v>89</v>
      </c>
      <c r="J26" s="16">
        <f>(Tabla32[[#This Row],[P3 + P6]])*VLOOKUP(MONTH(Tabla32[[#This Row],[Fecha final]]),Tabla20[#All],4,FALSE)</f>
        <v>71.691199999999995</v>
      </c>
      <c r="K26" s="16">
        <f>Tabla32[[#This Row],[P1 + P4]]*VLOOKUP(MONTH(Tabla32[[#This Row],[Fecha final]]),Tabla20[#All],5,FALSE)</f>
        <v>0</v>
      </c>
      <c r="L26" s="16">
        <f>Tabla32[[#This Row],[P2 + P5]]*VLOOKUP(MONTH(Tabla32[[#This Row],[Fecha final]]),Tabla20[#All],6,FALSE)</f>
        <v>0</v>
      </c>
      <c r="M26" s="16">
        <f>Tabla32[[#This Row],[P3 + P6]]*VLOOKUP(MONTH(Tabla32[[#This Row],[Fecha final]]),Tabla20[#All],7,FALSE)</f>
        <v>187.30879999999999</v>
      </c>
      <c r="N26" s="16">
        <f>YEAR(Tabla32[[#This Row],[Fecha final]])</f>
        <v>2021</v>
      </c>
    </row>
    <row r="27" spans="1:14">
      <c r="A27" s="17">
        <v>44523</v>
      </c>
      <c r="B27" s="17">
        <v>44552</v>
      </c>
      <c r="C27" s="16">
        <v>29</v>
      </c>
      <c r="D27" s="16" t="s">
        <v>42</v>
      </c>
      <c r="E27" s="16">
        <v>108</v>
      </c>
      <c r="F27" s="16">
        <v>112</v>
      </c>
      <c r="G27" s="16">
        <v>213</v>
      </c>
      <c r="H27" s="16">
        <f>Tabla32[[#This Row],[P1 + P4]]*VLOOKUP(MONTH(Tabla32[[#This Row],[Fecha final]]),Tabla20[#All],2,FALSE)</f>
        <v>108</v>
      </c>
      <c r="I27" s="16">
        <f>Tabla32[[#This Row],[P2 + P5]]*VLOOKUP(MONTH(Tabla32[[#This Row],[Fecha final]]),Tabla20[#All],3,FALSE)</f>
        <v>112</v>
      </c>
      <c r="J27" s="16">
        <f>(Tabla32[[#This Row],[P3 + P6]])*VLOOKUP(MONTH(Tabla32[[#This Row],[Fecha final]]),Tabla20[#All],4,FALSE)</f>
        <v>0</v>
      </c>
      <c r="K27" s="16">
        <f>Tabla32[[#This Row],[P1 + P4]]*VLOOKUP(MONTH(Tabla32[[#This Row],[Fecha final]]),Tabla20[#All],5,FALSE)</f>
        <v>0</v>
      </c>
      <c r="L27" s="16">
        <f>Tabla32[[#This Row],[P2 + P5]]*VLOOKUP(MONTH(Tabla32[[#This Row],[Fecha final]]),Tabla20[#All],6,FALSE)</f>
        <v>0</v>
      </c>
      <c r="M27" s="16">
        <f>Tabla32[[#This Row],[P3 + P6]]*VLOOKUP(MONTH(Tabla32[[#This Row],[Fecha final]]),Tabla20[#All],7,FALSE)</f>
        <v>213</v>
      </c>
      <c r="N27" s="16">
        <f>YEAR(Tabla32[[#This Row],[Fecha final]])</f>
        <v>2021</v>
      </c>
    </row>
    <row r="28" spans="1:14">
      <c r="A28" s="17">
        <v>44552</v>
      </c>
      <c r="B28" s="17">
        <v>44585</v>
      </c>
      <c r="C28" s="16">
        <v>33</v>
      </c>
      <c r="D28" s="16" t="s">
        <v>42</v>
      </c>
      <c r="E28" s="16">
        <v>160</v>
      </c>
      <c r="F28" s="16">
        <v>125</v>
      </c>
      <c r="G28" s="16">
        <v>200</v>
      </c>
      <c r="H28" s="16">
        <f>Tabla32[[#This Row],[P1 + P4]]*VLOOKUP(MONTH(Tabla32[[#This Row],[Fecha final]]),Tabla20[#All],2,FALSE)</f>
        <v>160</v>
      </c>
      <c r="I28" s="16">
        <f>Tabla32[[#This Row],[P2 + P5]]*VLOOKUP(MONTH(Tabla32[[#This Row],[Fecha final]]),Tabla20[#All],3,FALSE)</f>
        <v>125</v>
      </c>
      <c r="J28" s="16">
        <f>(Tabla32[[#This Row],[P3 + P6]])*VLOOKUP(MONTH(Tabla32[[#This Row],[Fecha final]]),Tabla20[#All],4,FALSE)</f>
        <v>0</v>
      </c>
      <c r="K28" s="16">
        <f>Tabla32[[#This Row],[P1 + P4]]*VLOOKUP(MONTH(Tabla32[[#This Row],[Fecha final]]),Tabla20[#All],5,FALSE)</f>
        <v>0</v>
      </c>
      <c r="L28" s="16">
        <f>Tabla32[[#This Row],[P2 + P5]]*VLOOKUP(MONTH(Tabla32[[#This Row],[Fecha final]]),Tabla20[#All],6,FALSE)</f>
        <v>0</v>
      </c>
      <c r="M28" s="16">
        <f>Tabla32[[#This Row],[P3 + P6]]*VLOOKUP(MONTH(Tabla32[[#This Row],[Fecha final]]),Tabla20[#All],7,FALSE)</f>
        <v>200</v>
      </c>
      <c r="N28" s="16">
        <f>YEAR(Tabla32[[#This Row],[Fecha final]])</f>
        <v>2022</v>
      </c>
    </row>
    <row r="29" spans="1:14">
      <c r="A29" s="17">
        <v>44585</v>
      </c>
      <c r="B29" s="17">
        <v>44610</v>
      </c>
      <c r="C29" s="16">
        <v>25</v>
      </c>
      <c r="D29" s="16" t="s">
        <v>42</v>
      </c>
      <c r="E29" s="16">
        <v>130</v>
      </c>
      <c r="F29" s="16">
        <v>102</v>
      </c>
      <c r="G29" s="16">
        <v>162</v>
      </c>
      <c r="H29" s="16">
        <f>Tabla32[[#This Row],[P1 + P4]]*VLOOKUP(MONTH(Tabla32[[#This Row],[Fecha final]]),Tabla20[#All],2,FALSE)</f>
        <v>130</v>
      </c>
      <c r="I29" s="16">
        <f>Tabla32[[#This Row],[P2 + P5]]*VLOOKUP(MONTH(Tabla32[[#This Row],[Fecha final]]),Tabla20[#All],3,FALSE)</f>
        <v>102</v>
      </c>
      <c r="J29" s="16">
        <f>(Tabla32[[#This Row],[P3 + P6]])*VLOOKUP(MONTH(Tabla32[[#This Row],[Fecha final]]),Tabla20[#All],4,FALSE)</f>
        <v>0</v>
      </c>
      <c r="K29" s="16">
        <f>Tabla32[[#This Row],[P1 + P4]]*VLOOKUP(MONTH(Tabla32[[#This Row],[Fecha final]]),Tabla20[#All],5,FALSE)</f>
        <v>0</v>
      </c>
      <c r="L29" s="16">
        <f>Tabla32[[#This Row],[P2 + P5]]*VLOOKUP(MONTH(Tabla32[[#This Row],[Fecha final]]),Tabla20[#All],6,FALSE)</f>
        <v>0</v>
      </c>
      <c r="M29" s="16">
        <f>Tabla32[[#This Row],[P3 + P6]]*VLOOKUP(MONTH(Tabla32[[#This Row],[Fecha final]]),Tabla20[#All],7,FALSE)</f>
        <v>162</v>
      </c>
      <c r="N29" s="16">
        <f>YEAR(Tabla32[[#This Row],[Fecha final]])</f>
        <v>2022</v>
      </c>
    </row>
    <row r="30" spans="1:14">
      <c r="A30" s="17">
        <v>44610</v>
      </c>
      <c r="B30" s="17">
        <v>44651</v>
      </c>
      <c r="C30" s="16">
        <v>41</v>
      </c>
      <c r="D30" s="16" t="s">
        <v>42</v>
      </c>
      <c r="E30" s="16">
        <v>13</v>
      </c>
      <c r="F30" s="16">
        <v>76</v>
      </c>
      <c r="G30" s="16">
        <v>224</v>
      </c>
      <c r="H30" s="16">
        <f>Tabla32[[#This Row],[P1 + P4]]*VLOOKUP(MONTH(Tabla32[[#This Row],[Fecha final]]),Tabla20[#All],2,FALSE)</f>
        <v>0</v>
      </c>
      <c r="I30" s="16">
        <f>Tabla32[[#This Row],[P2 + P5]]*VLOOKUP(MONTH(Tabla32[[#This Row],[Fecha final]]),Tabla20[#All],3,FALSE)</f>
        <v>76</v>
      </c>
      <c r="J30" s="16">
        <f>(Tabla32[[#This Row],[P3 + P6]])*VLOOKUP(MONTH(Tabla32[[#This Row],[Fecha final]]),Tabla20[#All],4,FALSE)</f>
        <v>67.155200000000008</v>
      </c>
      <c r="K30" s="16">
        <f>Tabla32[[#This Row],[P1 + P4]]*VLOOKUP(MONTH(Tabla32[[#This Row],[Fecha final]]),Tabla20[#All],5,FALSE)</f>
        <v>0</v>
      </c>
      <c r="L30" s="16">
        <f>Tabla32[[#This Row],[P2 + P5]]*VLOOKUP(MONTH(Tabla32[[#This Row],[Fecha final]]),Tabla20[#All],6,FALSE)</f>
        <v>0</v>
      </c>
      <c r="M30" s="16">
        <f>Tabla32[[#This Row],[P3 + P6]]*VLOOKUP(MONTH(Tabla32[[#This Row],[Fecha final]]),Tabla20[#All],7,FALSE)</f>
        <v>156.84480000000002</v>
      </c>
      <c r="N30" s="16">
        <f>YEAR(Tabla32[[#This Row],[Fecha final]])</f>
        <v>2022</v>
      </c>
    </row>
    <row r="31" spans="1:14">
      <c r="A31" s="17">
        <v>44651</v>
      </c>
      <c r="B31" s="17">
        <v>44681</v>
      </c>
      <c r="C31" s="16">
        <v>30</v>
      </c>
      <c r="D31" s="16" t="s">
        <v>42</v>
      </c>
      <c r="E31" s="16">
        <v>28</v>
      </c>
      <c r="F31" s="16">
        <v>28</v>
      </c>
      <c r="G31" s="16">
        <v>58</v>
      </c>
      <c r="H31" s="16">
        <f>Tabla32[[#This Row],[P1 + P4]]*VLOOKUP(MONTH(Tabla32[[#This Row],[Fecha final]]),Tabla20[#All],2,FALSE)</f>
        <v>0</v>
      </c>
      <c r="I31" s="16">
        <f>Tabla32[[#This Row],[P2 + P5]]*VLOOKUP(MONTH(Tabla32[[#This Row],[Fecha final]]),Tabla20[#All],3,FALSE)</f>
        <v>0</v>
      </c>
      <c r="J31" s="16">
        <f>(Tabla32[[#This Row],[P3 + P6]])*VLOOKUP(MONTH(Tabla32[[#This Row],[Fecha final]]),Tabla20[#All],4,FALSE)</f>
        <v>0</v>
      </c>
      <c r="K31" s="16">
        <f>Tabla32[[#This Row],[P1 + P4]]*VLOOKUP(MONTH(Tabla32[[#This Row],[Fecha final]]),Tabla20[#All],5,FALSE)</f>
        <v>28</v>
      </c>
      <c r="L31" s="16">
        <f>Tabla32[[#This Row],[P2 + P5]]*VLOOKUP(MONTH(Tabla32[[#This Row],[Fecha final]]),Tabla20[#All],6,FALSE)</f>
        <v>28</v>
      </c>
      <c r="M31" s="16">
        <f>Tabla32[[#This Row],[P3 + P6]]*VLOOKUP(MONTH(Tabla32[[#This Row],[Fecha final]]),Tabla20[#All],7,FALSE)</f>
        <v>58</v>
      </c>
      <c r="N31" s="16">
        <f>YEAR(Tabla32[[#This Row],[Fecha final]])</f>
        <v>2022</v>
      </c>
    </row>
    <row r="32" spans="1:14">
      <c r="A32" s="17">
        <v>44681</v>
      </c>
      <c r="B32" s="17">
        <v>44712</v>
      </c>
      <c r="C32" s="16">
        <v>31</v>
      </c>
      <c r="D32" s="16" t="s">
        <v>42</v>
      </c>
      <c r="E32" s="16">
        <v>60</v>
      </c>
      <c r="F32" s="16">
        <v>37</v>
      </c>
      <c r="G32" s="16">
        <v>74</v>
      </c>
      <c r="H32" s="16">
        <f>Tabla32[[#This Row],[P1 + P4]]*VLOOKUP(MONTH(Tabla32[[#This Row],[Fecha final]]),Tabla20[#All],2,FALSE)</f>
        <v>0</v>
      </c>
      <c r="I32" s="16">
        <f>Tabla32[[#This Row],[P2 + P5]]*VLOOKUP(MONTH(Tabla32[[#This Row],[Fecha final]]),Tabla20[#All],3,FALSE)</f>
        <v>0</v>
      </c>
      <c r="J32" s="16">
        <f>(Tabla32[[#This Row],[P3 + P6]])*VLOOKUP(MONTH(Tabla32[[#This Row],[Fecha final]]),Tabla20[#All],4,FALSE)</f>
        <v>0</v>
      </c>
      <c r="K32" s="16">
        <f>Tabla32[[#This Row],[P1 + P4]]*VLOOKUP(MONTH(Tabla32[[#This Row],[Fecha final]]),Tabla20[#All],5,FALSE)</f>
        <v>60</v>
      </c>
      <c r="L32" s="16">
        <f>Tabla32[[#This Row],[P2 + P5]]*VLOOKUP(MONTH(Tabla32[[#This Row],[Fecha final]]),Tabla20[#All],6,FALSE)</f>
        <v>37</v>
      </c>
      <c r="M32" s="16">
        <f>Tabla32[[#This Row],[P3 + P6]]*VLOOKUP(MONTH(Tabla32[[#This Row],[Fecha final]]),Tabla20[#All],7,FALSE)</f>
        <v>74</v>
      </c>
      <c r="N32" s="16">
        <f>YEAR(Tabla32[[#This Row],[Fecha final]])</f>
        <v>2022</v>
      </c>
    </row>
    <row r="33" spans="1:14">
      <c r="A33" s="17">
        <v>44712</v>
      </c>
      <c r="B33" s="17">
        <v>44789</v>
      </c>
      <c r="C33" s="16">
        <v>77</v>
      </c>
      <c r="D33" s="16" t="s">
        <v>42</v>
      </c>
      <c r="E33" s="16">
        <v>202</v>
      </c>
      <c r="F33" s="16">
        <v>55</v>
      </c>
      <c r="G33" s="16">
        <v>333</v>
      </c>
      <c r="H33" s="16">
        <f>Tabla32[[#This Row],[P1 + P4]]*VLOOKUP(MONTH(Tabla32[[#This Row],[Fecha final]]),Tabla20[#All],2,FALSE)</f>
        <v>0</v>
      </c>
      <c r="I33" s="16">
        <f>Tabla32[[#This Row],[P2 + P5]]*VLOOKUP(MONTH(Tabla32[[#This Row],[Fecha final]]),Tabla20[#All],3,FALSE)</f>
        <v>0</v>
      </c>
      <c r="J33" s="16">
        <f>(Tabla32[[#This Row],[P3 + P6]])*VLOOKUP(MONTH(Tabla32[[#This Row],[Fecha final]]),Tabla20[#All],4,FALSE)</f>
        <v>111.7548</v>
      </c>
      <c r="K33" s="16">
        <f>Tabla32[[#This Row],[P1 + P4]]*VLOOKUP(MONTH(Tabla32[[#This Row],[Fecha final]]),Tabla20[#All],5,FALSE)</f>
        <v>202</v>
      </c>
      <c r="L33" s="16">
        <f>Tabla32[[#This Row],[P2 + P5]]*VLOOKUP(MONTH(Tabla32[[#This Row],[Fecha final]]),Tabla20[#All],6,FALSE)</f>
        <v>0</v>
      </c>
      <c r="M33" s="16">
        <f>Tabla32[[#This Row],[P3 + P6]]*VLOOKUP(MONTH(Tabla32[[#This Row],[Fecha final]]),Tabla20[#All],7,FALSE)</f>
        <v>221.24519999999998</v>
      </c>
      <c r="N33" s="16">
        <f>YEAR(Tabla32[[#This Row],[Fecha final]])</f>
        <v>2022</v>
      </c>
    </row>
    <row r="34" spans="1:14">
      <c r="A34" s="17">
        <v>44789</v>
      </c>
      <c r="B34" s="17">
        <v>44804</v>
      </c>
      <c r="C34" s="16">
        <v>15</v>
      </c>
      <c r="D34" s="16" t="s">
        <v>42</v>
      </c>
      <c r="E34" s="16">
        <v>36</v>
      </c>
      <c r="F34" s="16">
        <v>0</v>
      </c>
      <c r="G34" s="16">
        <v>94</v>
      </c>
      <c r="H34" s="16">
        <f>Tabla32[[#This Row],[P1 + P4]]*VLOOKUP(MONTH(Tabla32[[#This Row],[Fecha final]]),Tabla20[#All],2,FALSE)</f>
        <v>0</v>
      </c>
      <c r="I34" s="16">
        <f>Tabla32[[#This Row],[P2 + P5]]*VLOOKUP(MONTH(Tabla32[[#This Row],[Fecha final]]),Tabla20[#All],3,FALSE)</f>
        <v>0</v>
      </c>
      <c r="J34" s="16">
        <f>(Tabla32[[#This Row],[P3 + P6]])*VLOOKUP(MONTH(Tabla32[[#This Row],[Fecha final]]),Tabla20[#All],4,FALSE)</f>
        <v>31.546400000000002</v>
      </c>
      <c r="K34" s="16">
        <f>Tabla32[[#This Row],[P1 + P4]]*VLOOKUP(MONTH(Tabla32[[#This Row],[Fecha final]]),Tabla20[#All],5,FALSE)</f>
        <v>36</v>
      </c>
      <c r="L34" s="16">
        <f>Tabla32[[#This Row],[P2 + P5]]*VLOOKUP(MONTH(Tabla32[[#This Row],[Fecha final]]),Tabla20[#All],6,FALSE)</f>
        <v>0</v>
      </c>
      <c r="M34" s="16">
        <f>Tabla32[[#This Row],[P3 + P6]]*VLOOKUP(MONTH(Tabla32[[#This Row],[Fecha final]]),Tabla20[#All],7,FALSE)</f>
        <v>62.453600000000002</v>
      </c>
      <c r="N34" s="16">
        <f>YEAR(Tabla32[[#This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36</v>
      </c>
      <c r="F35" s="16">
        <v>0</v>
      </c>
      <c r="G35" s="16">
        <v>128</v>
      </c>
      <c r="H35" s="16">
        <f>Tabla32[[#This Row],[P1 + P4]]*VLOOKUP(MONTH(Tabla32[[#This Row],[Fecha final]]),Tabla20[#All],2,FALSE)</f>
        <v>0</v>
      </c>
      <c r="I35" s="16">
        <f>Tabla32[[#This Row],[P2 + P5]]*VLOOKUP(MONTH(Tabla32[[#This Row],[Fecha final]]),Tabla20[#All],3,FALSE)</f>
        <v>0</v>
      </c>
      <c r="J35" s="16">
        <f>(Tabla32[[#This Row],[P3 + P6]])*VLOOKUP(MONTH(Tabla32[[#This Row],[Fecha final]]),Tabla20[#All],4,FALSE)</f>
        <v>44.7744</v>
      </c>
      <c r="K35" s="16">
        <f>Tabla32[[#This Row],[P1 + P4]]*VLOOKUP(MONTH(Tabla32[[#This Row],[Fecha final]]),Tabla20[#All],5,FALSE)</f>
        <v>36</v>
      </c>
      <c r="L35" s="16">
        <f>Tabla32[[#This Row],[P2 + P5]]*VLOOKUP(MONTH(Tabla32[[#This Row],[Fecha final]]),Tabla20[#All],6,FALSE)</f>
        <v>0</v>
      </c>
      <c r="M35" s="16">
        <f>Tabla32[[#This Row],[P3 + P6]]*VLOOKUP(MONTH(Tabla32[[#This Row],[Fecha final]]),Tabla20[#All],7,FALSE)</f>
        <v>83.2256</v>
      </c>
      <c r="N35" s="16">
        <f>YEAR(Tabla32[[#This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65</v>
      </c>
      <c r="F36" s="16">
        <v>44</v>
      </c>
      <c r="G36" s="16">
        <v>91</v>
      </c>
      <c r="H36" s="16">
        <f>Tabla32[[#This Row],[P1 + P4]]*VLOOKUP(MONTH(Tabla32[[#This Row],[Fecha final]]),Tabla20[#All],2,FALSE)</f>
        <v>0</v>
      </c>
      <c r="I36" s="16">
        <f>Tabla32[[#This Row],[P2 + P5]]*VLOOKUP(MONTH(Tabla32[[#This Row],[Fecha final]]),Tabla20[#All],3,FALSE)</f>
        <v>0</v>
      </c>
      <c r="J36" s="16">
        <f>(Tabla32[[#This Row],[P3 + P6]])*VLOOKUP(MONTH(Tabla32[[#This Row],[Fecha final]]),Tabla20[#All],4,FALSE)</f>
        <v>0</v>
      </c>
      <c r="K36" s="16">
        <f>Tabla32[[#This Row],[P1 + P4]]*VLOOKUP(MONTH(Tabla32[[#This Row],[Fecha final]]),Tabla20[#All],5,FALSE)</f>
        <v>65</v>
      </c>
      <c r="L36" s="16">
        <f>Tabla32[[#This Row],[P2 + P5]]*VLOOKUP(MONTH(Tabla32[[#This Row],[Fecha final]]),Tabla20[#All],6,FALSE)</f>
        <v>44</v>
      </c>
      <c r="M36" s="16">
        <f>Tabla32[[#This Row],[P3 + P6]]*VLOOKUP(MONTH(Tabla32[[#This Row],[Fecha final]]),Tabla20[#All],7,FALSE)</f>
        <v>91</v>
      </c>
      <c r="N36" s="16">
        <f>YEAR(Tabla32[[#This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155</v>
      </c>
      <c r="G37" s="16">
        <v>155</v>
      </c>
      <c r="H37" s="16">
        <f>Tabla32[[#This Row],[P1 + P4]]*VLOOKUP(MONTH(Tabla32[[#This Row],[Fecha final]]),Tabla20[#All],2,FALSE)</f>
        <v>0</v>
      </c>
      <c r="I37" s="16">
        <f>Tabla32[[#This Row],[P2 + P5]]*VLOOKUP(MONTH(Tabla32[[#This Row],[Fecha final]]),Tabla20[#All],3,FALSE)</f>
        <v>155</v>
      </c>
      <c r="J37" s="16">
        <f>(Tabla32[[#This Row],[P3 + P6]])*VLOOKUP(MONTH(Tabla32[[#This Row],[Fecha final]]),Tabla20[#All],4,FALSE)</f>
        <v>42.903999999999996</v>
      </c>
      <c r="K37" s="16">
        <f>Tabla32[[#This Row],[P1 + P4]]*VLOOKUP(MONTH(Tabla32[[#This Row],[Fecha final]]),Tabla20[#All],5,FALSE)</f>
        <v>0</v>
      </c>
      <c r="L37" s="16">
        <f>Tabla32[[#This Row],[P2 + P5]]*VLOOKUP(MONTH(Tabla32[[#This Row],[Fecha final]]),Tabla20[#All],6,FALSE)</f>
        <v>0</v>
      </c>
      <c r="M37" s="16">
        <f>Tabla32[[#This Row],[P3 + P6]]*VLOOKUP(MONTH(Tabla32[[#This Row],[Fecha final]]),Tabla20[#All],7,FALSE)</f>
        <v>112.09599999999999</v>
      </c>
      <c r="N37" s="16">
        <f>YEAR(Tabla32[[#This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288</v>
      </c>
      <c r="F38" s="16">
        <v>148</v>
      </c>
      <c r="G38" s="16">
        <v>75</v>
      </c>
      <c r="H38" s="16">
        <f>Tabla32[[#This Row],[P1 + P4]]*VLOOKUP(MONTH(Tabla32[[#This Row],[Fecha final]]),Tabla20[#All],2,FALSE)</f>
        <v>288</v>
      </c>
      <c r="I38" s="16">
        <f>Tabla32[[#This Row],[P2 + P5]]*VLOOKUP(MONTH(Tabla32[[#This Row],[Fecha final]]),Tabla20[#All],3,FALSE)</f>
        <v>148</v>
      </c>
      <c r="J38" s="16">
        <f>(Tabla32[[#This Row],[P3 + P6]])*VLOOKUP(MONTH(Tabla32[[#This Row],[Fecha final]]),Tabla20[#All],4,FALSE)</f>
        <v>0</v>
      </c>
      <c r="K38" s="16">
        <f>Tabla32[[#This Row],[P1 + P4]]*VLOOKUP(MONTH(Tabla32[[#This Row],[Fecha final]]),Tabla20[#All],5,FALSE)</f>
        <v>0</v>
      </c>
      <c r="L38" s="16">
        <f>Tabla32[[#This Row],[P2 + P5]]*VLOOKUP(MONTH(Tabla32[[#This Row],[Fecha final]]),Tabla20[#All],6,FALSE)</f>
        <v>0</v>
      </c>
      <c r="M38" s="16">
        <f>Tabla32[[#This Row],[P3 + P6]]*VLOOKUP(MONTH(Tabla32[[#This Row],[Fecha final]]),Tabla20[#All],7,FALSE)</f>
        <v>75</v>
      </c>
      <c r="N38" s="16">
        <f>YEAR(Tabla32[[#This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541</v>
      </c>
      <c r="F39" s="16">
        <v>305</v>
      </c>
      <c r="G39" s="16">
        <v>151</v>
      </c>
      <c r="H39" s="16">
        <f>Tabla32[[#This Row],[P1 + P4]]*VLOOKUP(MONTH(Tabla32[[#This Row],[Fecha final]]),Tabla20[#All],2,FALSE)</f>
        <v>541</v>
      </c>
      <c r="I39" s="16">
        <f>Tabla32[[#This Row],[P2 + P5]]*VLOOKUP(MONTH(Tabla32[[#This Row],[Fecha final]]),Tabla20[#All],3,FALSE)</f>
        <v>305</v>
      </c>
      <c r="J39" s="16">
        <f>(Tabla32[[#This Row],[P3 + P6]])*VLOOKUP(MONTH(Tabla32[[#This Row],[Fecha final]]),Tabla20[#All],4,FALSE)</f>
        <v>0</v>
      </c>
      <c r="K39" s="16">
        <f>Tabla32[[#This Row],[P1 + P4]]*VLOOKUP(MONTH(Tabla32[[#This Row],[Fecha final]]),Tabla20[#All],5,FALSE)</f>
        <v>0</v>
      </c>
      <c r="L39" s="16">
        <f>Tabla32[[#This Row],[P2 + P5]]*VLOOKUP(MONTH(Tabla32[[#This Row],[Fecha final]]),Tabla20[#All],6,FALSE)</f>
        <v>0</v>
      </c>
      <c r="M39" s="16">
        <f>Tabla32[[#This Row],[P3 + P6]]*VLOOKUP(MONTH(Tabla32[[#This Row],[Fecha final]]),Tabla20[#All],7,FALSE)</f>
        <v>151</v>
      </c>
      <c r="N39" s="16">
        <f>YEAR(Tabla32[[#This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372</v>
      </c>
      <c r="F40" s="16">
        <v>259</v>
      </c>
      <c r="G40" s="16">
        <v>344</v>
      </c>
      <c r="H40" s="16">
        <f>Tabla32[[#This Row],[P1 + P4]]*VLOOKUP(MONTH(Tabla32[[#This Row],[Fecha final]]),Tabla20[#All],2,FALSE)</f>
        <v>372</v>
      </c>
      <c r="I40" s="16">
        <f>Tabla32[[#This Row],[P2 + P5]]*VLOOKUP(MONTH(Tabla32[[#This Row],[Fecha final]]),Tabla20[#All],3,FALSE)</f>
        <v>259</v>
      </c>
      <c r="J40" s="16">
        <f>(Tabla32[[#This Row],[P3 + P6]])*VLOOKUP(MONTH(Tabla32[[#This Row],[Fecha final]]),Tabla20[#All],4,FALSE)</f>
        <v>0</v>
      </c>
      <c r="K40" s="16">
        <f>Tabla32[[#This Row],[P1 + P4]]*VLOOKUP(MONTH(Tabla32[[#This Row],[Fecha final]]),Tabla20[#All],5,FALSE)</f>
        <v>0</v>
      </c>
      <c r="L40" s="16">
        <f>Tabla32[[#This Row],[P2 + P5]]*VLOOKUP(MONTH(Tabla32[[#This Row],[Fecha final]]),Tabla20[#All],6,FALSE)</f>
        <v>0</v>
      </c>
      <c r="M40" s="16">
        <f>Tabla32[[#This Row],[P3 + P6]]*VLOOKUP(MONTH(Tabla32[[#This Row],[Fecha final]]),Tabla20[#All],7,FALSE)</f>
        <v>344</v>
      </c>
      <c r="N40" s="16">
        <f>YEAR(Tabla32[[#This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209</v>
      </c>
      <c r="G41" s="16">
        <v>287</v>
      </c>
      <c r="H41" s="16">
        <f>Tabla32[[#This Row],[P1 + P4]]*VLOOKUP(MONTH(Tabla32[[#This Row],[Fecha final]]),Tabla20[#All],2,FALSE)</f>
        <v>0</v>
      </c>
      <c r="I41" s="16">
        <f>Tabla32[[#This Row],[P2 + P5]]*VLOOKUP(MONTH(Tabla32[[#This Row],[Fecha final]]),Tabla20[#All],3,FALSE)</f>
        <v>209</v>
      </c>
      <c r="J41" s="16">
        <f>(Tabla32[[#This Row],[P3 + P6]])*VLOOKUP(MONTH(Tabla32[[#This Row],[Fecha final]]),Tabla20[#All],4,FALSE)</f>
        <v>86.042600000000007</v>
      </c>
      <c r="K41" s="16">
        <f>Tabla32[[#This Row],[P1 + P4]]*VLOOKUP(MONTH(Tabla32[[#This Row],[Fecha final]]),Tabla20[#All],5,FALSE)</f>
        <v>0</v>
      </c>
      <c r="L41" s="16">
        <f>Tabla32[[#This Row],[P2 + P5]]*VLOOKUP(MONTH(Tabla32[[#This Row],[Fecha final]]),Tabla20[#All],6,FALSE)</f>
        <v>0</v>
      </c>
      <c r="M41" s="16">
        <f>Tabla32[[#This Row],[P3 + P6]]*VLOOKUP(MONTH(Tabla32[[#This Row],[Fecha final]]),Tabla20[#All],7,FALSE)</f>
        <v>200.95740000000001</v>
      </c>
      <c r="N41" s="16">
        <f>YEAR(Tabla32[[#This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14</v>
      </c>
      <c r="G47" s="16">
        <v>15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37</v>
      </c>
      <c r="F48" s="16">
        <v>33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31</v>
      </c>
      <c r="F49" s="16">
        <v>25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27</v>
      </c>
      <c r="F50" s="16">
        <v>14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9</v>
      </c>
      <c r="G51" s="16">
        <v>15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9</v>
      </c>
      <c r="F52" s="16">
        <v>6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8</v>
      </c>
      <c r="F53" s="16">
        <v>0</v>
      </c>
      <c r="G53" s="16">
        <v>12</v>
      </c>
    </row>
    <row r="54" spans="1:7">
      <c r="A54" s="16" t="s">
        <v>429</v>
      </c>
      <c r="B54" s="16" t="s">
        <v>69</v>
      </c>
      <c r="C54" s="16">
        <v>15</v>
      </c>
      <c r="D54" s="16" t="s">
        <v>42</v>
      </c>
      <c r="E54" s="16">
        <v>0</v>
      </c>
      <c r="F54" s="16">
        <v>0</v>
      </c>
      <c r="G54" s="16">
        <v>3</v>
      </c>
    </row>
    <row r="55" spans="1:7">
      <c r="A55" s="16" t="s">
        <v>66</v>
      </c>
      <c r="B55" s="16" t="s">
        <v>429</v>
      </c>
      <c r="C55" s="16">
        <v>77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65</v>
      </c>
      <c r="B56" s="16" t="s">
        <v>66</v>
      </c>
      <c r="C56" s="16">
        <v>31</v>
      </c>
      <c r="D56" s="16" t="s">
        <v>42</v>
      </c>
      <c r="E56" s="16">
        <v>0</v>
      </c>
      <c r="F56" s="16">
        <v>10</v>
      </c>
      <c r="G56" s="16">
        <v>0</v>
      </c>
    </row>
    <row r="57" spans="1:7">
      <c r="A57" s="16" t="s">
        <v>63</v>
      </c>
      <c r="B57" s="16" t="s">
        <v>65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430</v>
      </c>
      <c r="B58" s="16" t="s">
        <v>63</v>
      </c>
      <c r="C58" s="16">
        <v>41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431</v>
      </c>
      <c r="B59" s="16" t="s">
        <v>430</v>
      </c>
      <c r="C59" s="16">
        <v>25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432</v>
      </c>
      <c r="B60" s="16" t="s">
        <v>431</v>
      </c>
      <c r="C60" s="16">
        <v>33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116</v>
      </c>
      <c r="B61" s="16" t="s">
        <v>432</v>
      </c>
      <c r="C61" s="16">
        <v>29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57</v>
      </c>
      <c r="B62" s="16" t="s">
        <v>116</v>
      </c>
      <c r="C62" s="16">
        <v>23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55</v>
      </c>
      <c r="B63" s="16" t="s">
        <v>57</v>
      </c>
      <c r="C63" s="16">
        <v>31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54</v>
      </c>
      <c r="B64" s="16" t="s">
        <v>55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433</v>
      </c>
      <c r="B65" s="16" t="s">
        <v>54</v>
      </c>
      <c r="C65" s="16">
        <v>21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53</v>
      </c>
      <c r="B66" s="16" t="s">
        <v>433</v>
      </c>
      <c r="C66" s="16">
        <v>10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52</v>
      </c>
      <c r="B67" s="16" t="s">
        <v>53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51</v>
      </c>
      <c r="B68" s="16" t="s">
        <v>52</v>
      </c>
      <c r="C68" s="16">
        <v>30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50</v>
      </c>
      <c r="B69" s="16" t="s">
        <v>51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434</v>
      </c>
      <c r="B70" s="16" t="s">
        <v>50</v>
      </c>
      <c r="C70" s="16">
        <v>12</v>
      </c>
      <c r="D70" s="16" t="s">
        <v>42</v>
      </c>
      <c r="E70" s="16">
        <v>51</v>
      </c>
      <c r="F70" s="16">
        <v>131</v>
      </c>
      <c r="G70" s="16">
        <v>60</v>
      </c>
    </row>
    <row r="71" spans="1:7">
      <c r="A71" s="16" t="s">
        <v>305</v>
      </c>
      <c r="B71" s="16" t="s">
        <v>434</v>
      </c>
      <c r="C71" s="16">
        <v>48</v>
      </c>
      <c r="D71" s="16" t="s">
        <v>42</v>
      </c>
      <c r="E71" s="16">
        <v>1</v>
      </c>
      <c r="F71" s="16">
        <v>2</v>
      </c>
      <c r="G71" s="16">
        <v>1</v>
      </c>
    </row>
    <row r="72" spans="1:7">
      <c r="A72" s="16" t="s">
        <v>435</v>
      </c>
      <c r="B72" s="16" t="s">
        <v>305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45</v>
      </c>
      <c r="B73" s="16" t="s">
        <v>435</v>
      </c>
      <c r="C73" s="16">
        <v>32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44</v>
      </c>
      <c r="B74" s="16" t="s">
        <v>45</v>
      </c>
      <c r="C74" s="16">
        <v>31</v>
      </c>
      <c r="D74" s="16" t="s">
        <v>42</v>
      </c>
      <c r="E74" s="16">
        <v>65</v>
      </c>
      <c r="F74" s="16">
        <v>478</v>
      </c>
      <c r="G74" s="16">
        <v>45</v>
      </c>
    </row>
    <row r="75" spans="1:7">
      <c r="A75" s="16" t="s">
        <v>43</v>
      </c>
      <c r="B75" s="16" t="s">
        <v>44</v>
      </c>
      <c r="C75" s="16">
        <v>30</v>
      </c>
      <c r="D75" s="16" t="s">
        <v>42</v>
      </c>
      <c r="E75" s="16">
        <v>74</v>
      </c>
      <c r="F75" s="16">
        <v>500</v>
      </c>
      <c r="G75" s="16">
        <v>32</v>
      </c>
    </row>
    <row r="76" spans="1:7">
      <c r="A76" s="16" t="s">
        <v>41</v>
      </c>
      <c r="B76" s="16" t="s">
        <v>43</v>
      </c>
      <c r="C76" s="16">
        <v>31</v>
      </c>
      <c r="D76" s="16" t="s">
        <v>42</v>
      </c>
      <c r="E76" s="16">
        <v>179</v>
      </c>
      <c r="F76" s="16">
        <v>326</v>
      </c>
      <c r="G76" s="16">
        <v>13</v>
      </c>
    </row>
    <row r="77" spans="1:7">
      <c r="A77" s="16" t="s">
        <v>78</v>
      </c>
      <c r="B77" s="16" t="s">
        <v>41</v>
      </c>
      <c r="C77" s="16">
        <v>30</v>
      </c>
      <c r="D77" s="16" t="s">
        <v>42</v>
      </c>
      <c r="E77" s="16">
        <v>252</v>
      </c>
      <c r="F77" s="16">
        <v>290</v>
      </c>
      <c r="G77" s="16">
        <v>20</v>
      </c>
    </row>
    <row r="78" spans="1:7">
      <c r="A78" s="16" t="s">
        <v>88</v>
      </c>
      <c r="B78" s="16" t="s">
        <v>78</v>
      </c>
      <c r="C78" s="16">
        <v>31</v>
      </c>
      <c r="D78" s="16" t="s">
        <v>42</v>
      </c>
      <c r="E78" s="16">
        <v>267</v>
      </c>
      <c r="F78" s="16">
        <v>234</v>
      </c>
      <c r="G78" s="16">
        <v>29</v>
      </c>
    </row>
    <row r="79" spans="1:7">
      <c r="A79" s="16" t="s">
        <v>89</v>
      </c>
      <c r="B79" s="16" t="s">
        <v>88</v>
      </c>
      <c r="C79" s="16">
        <v>31</v>
      </c>
      <c r="D79" s="16" t="s">
        <v>42</v>
      </c>
      <c r="E79" s="16">
        <v>265</v>
      </c>
      <c r="F79" s="16">
        <v>195</v>
      </c>
      <c r="G79" s="16">
        <v>10</v>
      </c>
    </row>
    <row r="80" spans="1:7">
      <c r="A80" s="16" t="s">
        <v>91</v>
      </c>
      <c r="B80" s="16" t="s">
        <v>89</v>
      </c>
      <c r="C80" s="16">
        <v>30</v>
      </c>
      <c r="D80" s="16" t="s">
        <v>42</v>
      </c>
      <c r="E80" s="16">
        <v>231</v>
      </c>
      <c r="F80" s="16">
        <v>179</v>
      </c>
      <c r="G80" s="16">
        <v>1</v>
      </c>
    </row>
    <row r="81" spans="1:7">
      <c r="A81" s="16" t="s">
        <v>139</v>
      </c>
      <c r="B81" s="16" t="s">
        <v>91</v>
      </c>
      <c r="C81" s="16">
        <v>31</v>
      </c>
      <c r="D81" s="16" t="s">
        <v>42</v>
      </c>
      <c r="E81" s="16">
        <v>191</v>
      </c>
      <c r="F81" s="16">
        <v>152</v>
      </c>
      <c r="G81" s="16">
        <v>2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25</v>
      </c>
      <c r="C87" s="16">
        <v>25</v>
      </c>
      <c r="D87" s="16">
        <v>25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6</v>
      </c>
      <c r="G89" s="16">
        <v>5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6</v>
      </c>
      <c r="F90" s="16">
        <v>7</v>
      </c>
      <c r="G90" s="16">
        <v>4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8</v>
      </c>
      <c r="F91" s="16">
        <v>8</v>
      </c>
      <c r="G91" s="16">
        <v>4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7</v>
      </c>
      <c r="F92" s="16">
        <v>5</v>
      </c>
      <c r="G92" s="16">
        <v>1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5</v>
      </c>
      <c r="G93" s="16">
        <v>5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1</v>
      </c>
      <c r="F94" s="16">
        <v>3</v>
      </c>
      <c r="G94" s="16">
        <v>1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</v>
      </c>
      <c r="F95" s="16">
        <v>0</v>
      </c>
      <c r="G95" s="16">
        <v>2</v>
      </c>
    </row>
    <row r="96" spans="1:7">
      <c r="A96" s="16" t="s">
        <v>429</v>
      </c>
      <c r="B96" s="16" t="s">
        <v>69</v>
      </c>
      <c r="C96" s="16">
        <v>15</v>
      </c>
      <c r="D96" s="16" t="s">
        <v>42</v>
      </c>
      <c r="E96" s="16">
        <v>21.25</v>
      </c>
      <c r="F96" s="16">
        <v>0</v>
      </c>
      <c r="G96" s="16">
        <v>21.25</v>
      </c>
    </row>
    <row r="97" spans="1:7">
      <c r="A97" s="16" t="s">
        <v>66</v>
      </c>
      <c r="B97" s="16" t="s">
        <v>429</v>
      </c>
      <c r="C97" s="16">
        <v>77</v>
      </c>
      <c r="D97" s="16" t="s">
        <v>42</v>
      </c>
      <c r="E97" s="16">
        <v>21.25</v>
      </c>
      <c r="F97" s="16">
        <v>21.25</v>
      </c>
      <c r="G97" s="16">
        <v>21.25</v>
      </c>
    </row>
    <row r="98" spans="1:7">
      <c r="A98" s="16" t="s">
        <v>65</v>
      </c>
      <c r="B98" s="16" t="s">
        <v>66</v>
      </c>
      <c r="C98" s="16">
        <v>31</v>
      </c>
      <c r="D98" s="16" t="s">
        <v>42</v>
      </c>
      <c r="E98" s="16">
        <v>2</v>
      </c>
      <c r="F98" s="16">
        <v>2</v>
      </c>
      <c r="G98" s="16">
        <v>1</v>
      </c>
    </row>
    <row r="99" spans="1:7">
      <c r="A99" s="16" t="s">
        <v>63</v>
      </c>
      <c r="B99" s="16" t="s">
        <v>65</v>
      </c>
      <c r="C99" s="16">
        <v>30</v>
      </c>
      <c r="D99" s="16" t="s">
        <v>42</v>
      </c>
      <c r="E99" s="16">
        <v>3</v>
      </c>
      <c r="F99" s="16">
        <v>1</v>
      </c>
      <c r="G99" s="16">
        <v>1</v>
      </c>
    </row>
    <row r="100" spans="1:7">
      <c r="A100" s="16" t="s">
        <v>430</v>
      </c>
      <c r="B100" s="16" t="s">
        <v>63</v>
      </c>
      <c r="C100" s="16">
        <v>41</v>
      </c>
      <c r="D100" s="16" t="s">
        <v>42</v>
      </c>
      <c r="E100" s="16">
        <v>0</v>
      </c>
      <c r="F100" s="16">
        <v>3</v>
      </c>
      <c r="G100" s="16">
        <v>3</v>
      </c>
    </row>
    <row r="101" spans="1:7">
      <c r="A101" s="16" t="s">
        <v>431</v>
      </c>
      <c r="B101" s="16" t="s">
        <v>430</v>
      </c>
      <c r="C101" s="16">
        <v>25</v>
      </c>
      <c r="D101" s="16" t="s">
        <v>42</v>
      </c>
      <c r="E101" s="16">
        <v>21.25</v>
      </c>
      <c r="F101" s="16">
        <v>21.25</v>
      </c>
      <c r="G101" s="16">
        <v>21.25</v>
      </c>
    </row>
    <row r="102" spans="1:7">
      <c r="A102" s="16" t="s">
        <v>432</v>
      </c>
      <c r="B102" s="16" t="s">
        <v>431</v>
      </c>
      <c r="C102" s="16">
        <v>33</v>
      </c>
      <c r="D102" s="16" t="s">
        <v>42</v>
      </c>
      <c r="E102" s="16">
        <v>21.25</v>
      </c>
      <c r="F102" s="16">
        <v>21.25</v>
      </c>
      <c r="G102" s="16">
        <v>21.25</v>
      </c>
    </row>
    <row r="103" spans="1:7">
      <c r="A103" s="16" t="s">
        <v>116</v>
      </c>
      <c r="B103" s="16" t="s">
        <v>432</v>
      </c>
      <c r="C103" s="16">
        <v>29</v>
      </c>
      <c r="D103" s="16" t="s">
        <v>42</v>
      </c>
      <c r="E103" s="16">
        <v>21.25</v>
      </c>
      <c r="F103" s="16">
        <v>21.25</v>
      </c>
      <c r="G103" s="16">
        <v>21.25</v>
      </c>
    </row>
    <row r="104" spans="1:7">
      <c r="A104" s="16" t="s">
        <v>57</v>
      </c>
      <c r="B104" s="16" t="s">
        <v>116</v>
      </c>
      <c r="C104" s="16">
        <v>23</v>
      </c>
      <c r="D104" s="16" t="s">
        <v>42</v>
      </c>
      <c r="E104" s="16">
        <v>0</v>
      </c>
      <c r="F104" s="16">
        <v>21.25</v>
      </c>
      <c r="G104" s="16">
        <v>21.25</v>
      </c>
    </row>
    <row r="105" spans="1:7">
      <c r="A105" s="16" t="s">
        <v>55</v>
      </c>
      <c r="B105" s="16" t="s">
        <v>57</v>
      </c>
      <c r="C105" s="16">
        <v>31</v>
      </c>
      <c r="D105" s="16" t="s">
        <v>42</v>
      </c>
      <c r="E105" s="16">
        <v>21.25</v>
      </c>
      <c r="F105" s="16">
        <v>21.25</v>
      </c>
      <c r="G105" s="16">
        <v>21.25</v>
      </c>
    </row>
    <row r="106" spans="1:7">
      <c r="A106" s="16" t="s">
        <v>54</v>
      </c>
      <c r="B106" s="16" t="s">
        <v>55</v>
      </c>
      <c r="C106" s="16">
        <v>30</v>
      </c>
      <c r="D106" s="16" t="s">
        <v>42</v>
      </c>
      <c r="E106" s="16">
        <v>21.25</v>
      </c>
      <c r="F106" s="16">
        <v>0</v>
      </c>
      <c r="G106" s="16">
        <v>21.25</v>
      </c>
    </row>
    <row r="107" spans="1:7">
      <c r="A107" s="16" t="s">
        <v>433</v>
      </c>
      <c r="B107" s="16" t="s">
        <v>54</v>
      </c>
      <c r="C107" s="16">
        <v>21</v>
      </c>
      <c r="D107" s="16" t="s">
        <v>42</v>
      </c>
      <c r="E107" s="16">
        <v>21.25</v>
      </c>
      <c r="F107" s="16">
        <v>0</v>
      </c>
      <c r="G107" s="16">
        <v>21.25</v>
      </c>
    </row>
    <row r="108" spans="1:7">
      <c r="A108" s="16" t="s">
        <v>53</v>
      </c>
      <c r="B108" s="16" t="s">
        <v>433</v>
      </c>
      <c r="C108" s="16">
        <v>10</v>
      </c>
      <c r="D108" s="16" t="s">
        <v>42</v>
      </c>
      <c r="E108" s="16">
        <v>21.25</v>
      </c>
      <c r="F108" s="16">
        <v>0</v>
      </c>
      <c r="G108" s="16">
        <v>21.25</v>
      </c>
    </row>
    <row r="109" spans="1:7">
      <c r="A109" s="16" t="s">
        <v>52</v>
      </c>
      <c r="B109" s="16" t="s">
        <v>53</v>
      </c>
      <c r="C109" s="16">
        <v>31</v>
      </c>
      <c r="D109" s="16" t="s">
        <v>42</v>
      </c>
      <c r="E109" s="16">
        <v>21.25</v>
      </c>
      <c r="F109" s="16">
        <v>21.25</v>
      </c>
      <c r="G109" s="16">
        <v>21.25</v>
      </c>
    </row>
    <row r="110" spans="1:7">
      <c r="A110" s="16" t="s">
        <v>51</v>
      </c>
      <c r="B110" s="16" t="s">
        <v>52</v>
      </c>
      <c r="C110" s="16">
        <v>30</v>
      </c>
      <c r="D110" s="16" t="s">
        <v>42</v>
      </c>
      <c r="E110" s="16">
        <v>0</v>
      </c>
      <c r="F110" s="16">
        <v>0</v>
      </c>
      <c r="G110" s="16">
        <v>0</v>
      </c>
    </row>
    <row r="111" spans="1:7">
      <c r="A111" s="16" t="s">
        <v>50</v>
      </c>
      <c r="B111" s="16" t="s">
        <v>51</v>
      </c>
      <c r="C111" s="16">
        <v>31</v>
      </c>
      <c r="D111" s="16" t="s">
        <v>42</v>
      </c>
      <c r="E111" s="16">
        <v>21</v>
      </c>
      <c r="F111" s="16">
        <v>21</v>
      </c>
      <c r="G111" s="16">
        <v>21</v>
      </c>
    </row>
    <row r="112" spans="1:7">
      <c r="A112" s="16" t="s">
        <v>434</v>
      </c>
      <c r="B112" s="16" t="s">
        <v>50</v>
      </c>
      <c r="C112" s="16">
        <v>12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305</v>
      </c>
      <c r="B113" s="16" t="s">
        <v>434</v>
      </c>
      <c r="C113" s="16">
        <v>48</v>
      </c>
      <c r="D113" s="16" t="s">
        <v>42</v>
      </c>
      <c r="E113" s="16">
        <v>2</v>
      </c>
      <c r="F113" s="16">
        <v>2</v>
      </c>
      <c r="G113" s="16">
        <v>1</v>
      </c>
    </row>
    <row r="114" spans="1:7">
      <c r="A114" s="16" t="s">
        <v>435</v>
      </c>
      <c r="B114" s="16" t="s">
        <v>305</v>
      </c>
      <c r="C114" s="16">
        <v>28</v>
      </c>
      <c r="D114" s="16" t="s">
        <v>42</v>
      </c>
      <c r="E114" s="16">
        <v>21</v>
      </c>
      <c r="F114" s="16">
        <v>21</v>
      </c>
      <c r="G114" s="16">
        <v>21</v>
      </c>
    </row>
    <row r="115" spans="1:7">
      <c r="A115" s="16" t="s">
        <v>45</v>
      </c>
      <c r="B115" s="16" t="s">
        <v>435</v>
      </c>
      <c r="C115" s="16">
        <v>32</v>
      </c>
      <c r="D115" s="16" t="s">
        <v>42</v>
      </c>
      <c r="E115" s="16">
        <v>21</v>
      </c>
      <c r="F115" s="16">
        <v>21</v>
      </c>
      <c r="G115" s="16">
        <v>21</v>
      </c>
    </row>
    <row r="116" spans="1:7">
      <c r="A116" s="16" t="s">
        <v>44</v>
      </c>
      <c r="B116" s="16" t="s">
        <v>45</v>
      </c>
      <c r="C116" s="16">
        <v>31</v>
      </c>
      <c r="D116" s="16" t="s">
        <v>42</v>
      </c>
      <c r="E116" s="16">
        <v>7</v>
      </c>
      <c r="F116" s="16">
        <v>14</v>
      </c>
      <c r="G116" s="16">
        <v>4</v>
      </c>
    </row>
    <row r="117" spans="1:7">
      <c r="A117" s="16" t="s">
        <v>43</v>
      </c>
      <c r="B117" s="16" t="s">
        <v>44</v>
      </c>
      <c r="C117" s="16">
        <v>30</v>
      </c>
      <c r="D117" s="16" t="s">
        <v>42</v>
      </c>
      <c r="E117" s="16">
        <v>7</v>
      </c>
      <c r="F117" s="16">
        <v>14</v>
      </c>
      <c r="G117" s="16">
        <v>4</v>
      </c>
    </row>
    <row r="118" spans="1:7">
      <c r="A118" s="16" t="s">
        <v>41</v>
      </c>
      <c r="B118" s="16" t="s">
        <v>43</v>
      </c>
      <c r="C118" s="16">
        <v>31</v>
      </c>
      <c r="D118" s="16" t="s">
        <v>42</v>
      </c>
      <c r="E118" s="16">
        <v>8</v>
      </c>
      <c r="F118" s="16">
        <v>9</v>
      </c>
      <c r="G118" s="16">
        <v>4</v>
      </c>
    </row>
    <row r="119" spans="1:7">
      <c r="A119" s="16" t="s">
        <v>78</v>
      </c>
      <c r="B119" s="16" t="s">
        <v>41</v>
      </c>
      <c r="C119" s="16">
        <v>30</v>
      </c>
      <c r="D119" s="16" t="s">
        <v>42</v>
      </c>
      <c r="E119" s="16">
        <v>10</v>
      </c>
      <c r="F119" s="16">
        <v>9</v>
      </c>
      <c r="G119" s="16">
        <v>4</v>
      </c>
    </row>
    <row r="120" spans="1:7">
      <c r="A120" s="16" t="s">
        <v>88</v>
      </c>
      <c r="B120" s="16" t="s">
        <v>78</v>
      </c>
      <c r="C120" s="16">
        <v>31</v>
      </c>
      <c r="D120" s="16" t="s">
        <v>42</v>
      </c>
      <c r="E120" s="16">
        <v>9</v>
      </c>
      <c r="F120" s="16">
        <v>8</v>
      </c>
      <c r="G120" s="16">
        <v>3</v>
      </c>
    </row>
    <row r="121" spans="1:7">
      <c r="A121" s="16" t="s">
        <v>89</v>
      </c>
      <c r="B121" s="16" t="s">
        <v>88</v>
      </c>
      <c r="C121" s="16">
        <v>31</v>
      </c>
      <c r="D121" s="16" t="s">
        <v>42</v>
      </c>
      <c r="E121" s="16">
        <v>8</v>
      </c>
      <c r="F121" s="16">
        <v>8</v>
      </c>
      <c r="G121" s="16">
        <v>2</v>
      </c>
    </row>
    <row r="122" spans="1:7">
      <c r="A122" s="16" t="s">
        <v>91</v>
      </c>
      <c r="B122" s="16" t="s">
        <v>89</v>
      </c>
      <c r="C122" s="16">
        <v>30</v>
      </c>
      <c r="D122" s="16" t="s">
        <v>42</v>
      </c>
      <c r="E122" s="16">
        <v>8</v>
      </c>
      <c r="F122" s="16">
        <v>7</v>
      </c>
      <c r="G122" s="16">
        <v>2</v>
      </c>
    </row>
    <row r="123" spans="1:7">
      <c r="A123" s="16" t="s">
        <v>139</v>
      </c>
      <c r="B123" s="16" t="s">
        <v>91</v>
      </c>
      <c r="C123" s="16">
        <v>31</v>
      </c>
      <c r="D123" s="16" t="s">
        <v>42</v>
      </c>
      <c r="E123" s="16">
        <v>6</v>
      </c>
      <c r="F123" s="16">
        <v>6</v>
      </c>
      <c r="G123" s="16">
        <v>2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ACFD-F47F-4F5B-BD1E-8912BB2A7B35}">
  <dimension ref="A1:N129"/>
  <sheetViews>
    <sheetView topLeftCell="A22" workbookViewId="0">
      <selection activeCell="E25" sqref="E25:E38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436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39</v>
      </c>
      <c r="C4" s="16">
        <v>27</v>
      </c>
      <c r="D4" s="16">
        <v>86</v>
      </c>
    </row>
    <row r="5" spans="1:14">
      <c r="A5" s="16" t="s">
        <v>36</v>
      </c>
      <c r="B5" s="16">
        <v>26</v>
      </c>
      <c r="C5" s="16">
        <v>18</v>
      </c>
      <c r="D5" s="16">
        <v>56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44124</v>
      </c>
      <c r="B7" s="17">
        <v>44154</v>
      </c>
      <c r="C7" s="16">
        <v>30</v>
      </c>
      <c r="D7" s="16" t="s">
        <v>42</v>
      </c>
      <c r="E7" s="16">
        <v>139</v>
      </c>
      <c r="F7" s="16">
        <v>645</v>
      </c>
      <c r="G7" s="16">
        <v>166</v>
      </c>
      <c r="H7" s="16">
        <f>Tabla33[[#This Row],[P1 + P4]]*VLOOKUP(MONTH(Tabla33[[#This Row],[Fecha final]]),Tabla20[#All],2,FALSE)</f>
        <v>0</v>
      </c>
      <c r="I7" s="16">
        <f>Tabla33[[#This Row],[P2 + P5]]*VLOOKUP(MONTH(Tabla33[[#This Row],[Fecha final]]),Tabla20[#All],3,FALSE)</f>
        <v>645</v>
      </c>
      <c r="J7" s="16">
        <f>(Tabla33[[#This Row],[P3 + P6]])*VLOOKUP(MONTH(Tabla33[[#This Row],[Fecha final]]),Tabla20[#All],4,FALSE)</f>
        <v>45.948799999999999</v>
      </c>
      <c r="K7" s="16">
        <f>Tabla33[[#This Row],[P1 + P4]]*VLOOKUP(MONTH(Tabla33[[#This Row],[Fecha final]]),Tabla20[#All],5,FALSE)</f>
        <v>0</v>
      </c>
      <c r="L7" s="16">
        <f>Tabla33[[#This Row],[P2 + P5]]*VLOOKUP(MONTH(Tabla33[[#This Row],[Fecha final]]),Tabla20[#All],6,FALSE)</f>
        <v>0</v>
      </c>
      <c r="M7" s="16">
        <f>Tabla33[[#This Row],[P3 + P6]]*VLOOKUP(MONTH(Tabla33[[#This Row],[Fecha final]]),Tabla20[#All],7,FALSE)</f>
        <v>120.05119999999999</v>
      </c>
      <c r="N7" s="16">
        <f>YEAR(Tabla33[[#This Row],[Fecha final]])</f>
        <v>2020</v>
      </c>
    </row>
    <row r="8" spans="1:14">
      <c r="A8" s="17">
        <v>44154</v>
      </c>
      <c r="B8" s="17">
        <v>44187</v>
      </c>
      <c r="C8" s="16">
        <v>33</v>
      </c>
      <c r="D8" s="16" t="s">
        <v>42</v>
      </c>
      <c r="E8" s="16">
        <v>194</v>
      </c>
      <c r="F8" s="16">
        <v>1169</v>
      </c>
      <c r="G8" s="16">
        <v>269</v>
      </c>
      <c r="H8" s="16">
        <f>Tabla33[[#This Row],[P1 + P4]]*VLOOKUP(MONTH(Tabla33[[#This Row],[Fecha final]]),Tabla20[#All],2,FALSE)</f>
        <v>194</v>
      </c>
      <c r="I8" s="16">
        <f>Tabla33[[#This Row],[P2 + P5]]*VLOOKUP(MONTH(Tabla33[[#This Row],[Fecha final]]),Tabla20[#All],3,FALSE)</f>
        <v>1169</v>
      </c>
      <c r="J8" s="16">
        <f>(Tabla33[[#This Row],[P3 + P6]])*VLOOKUP(MONTH(Tabla33[[#This Row],[Fecha final]]),Tabla20[#All],4,FALSE)</f>
        <v>0</v>
      </c>
      <c r="K8" s="16">
        <f>Tabla33[[#This Row],[P1 + P4]]*VLOOKUP(MONTH(Tabla33[[#This Row],[Fecha final]]),Tabla20[#All],5,FALSE)</f>
        <v>0</v>
      </c>
      <c r="L8" s="16">
        <f>Tabla33[[#This Row],[P2 + P5]]*VLOOKUP(MONTH(Tabla33[[#This Row],[Fecha final]]),Tabla20[#All],6,FALSE)</f>
        <v>0</v>
      </c>
      <c r="M8" s="16">
        <f>Tabla33[[#This Row],[P3 + P6]]*VLOOKUP(MONTH(Tabla33[[#This Row],[Fecha final]]),Tabla20[#All],7,FALSE)</f>
        <v>269</v>
      </c>
      <c r="N8" s="16">
        <f>YEAR(Tabla33[[#This Row],[Fecha final]])</f>
        <v>2020</v>
      </c>
    </row>
    <row r="9" spans="1:14">
      <c r="A9" s="17">
        <v>44187</v>
      </c>
      <c r="B9" s="17">
        <v>44218</v>
      </c>
      <c r="C9" s="16">
        <v>31</v>
      </c>
      <c r="D9" s="16" t="s">
        <v>42</v>
      </c>
      <c r="E9" s="16">
        <v>202</v>
      </c>
      <c r="F9" s="16">
        <v>1385</v>
      </c>
      <c r="G9" s="16">
        <v>303</v>
      </c>
      <c r="H9" s="16">
        <f>Tabla33[[#This Row],[P1 + P4]]*VLOOKUP(MONTH(Tabla33[[#This Row],[Fecha final]]),Tabla20[#All],2,FALSE)</f>
        <v>202</v>
      </c>
      <c r="I9" s="16">
        <f>Tabla33[[#This Row],[P2 + P5]]*VLOOKUP(MONTH(Tabla33[[#This Row],[Fecha final]]),Tabla20[#All],3,FALSE)</f>
        <v>1385</v>
      </c>
      <c r="J9" s="16">
        <f>(Tabla33[[#This Row],[P3 + P6]])*VLOOKUP(MONTH(Tabla33[[#This Row],[Fecha final]]),Tabla20[#All],4,FALSE)</f>
        <v>0</v>
      </c>
      <c r="K9" s="16">
        <f>Tabla33[[#This Row],[P1 + P4]]*VLOOKUP(MONTH(Tabla33[[#This Row],[Fecha final]]),Tabla20[#All],5,FALSE)</f>
        <v>0</v>
      </c>
      <c r="L9" s="16">
        <f>Tabla33[[#This Row],[P2 + P5]]*VLOOKUP(MONTH(Tabla33[[#This Row],[Fecha final]]),Tabla20[#All],6,FALSE)</f>
        <v>0</v>
      </c>
      <c r="M9" s="16">
        <f>Tabla33[[#This Row],[P3 + P6]]*VLOOKUP(MONTH(Tabla33[[#This Row],[Fecha final]]),Tabla20[#All],7,FALSE)</f>
        <v>303</v>
      </c>
      <c r="N9" s="16">
        <f>YEAR(Tabla33[[#This Row],[Fecha final]])</f>
        <v>2021</v>
      </c>
    </row>
    <row r="10" spans="1:14">
      <c r="A10" s="17">
        <v>44218</v>
      </c>
      <c r="B10" s="17">
        <v>44243</v>
      </c>
      <c r="C10" s="16">
        <v>25</v>
      </c>
      <c r="D10" s="16" t="s">
        <v>42</v>
      </c>
      <c r="E10" s="16">
        <v>115</v>
      </c>
      <c r="F10" s="16">
        <v>909</v>
      </c>
      <c r="G10" s="16">
        <v>138</v>
      </c>
      <c r="H10" s="16">
        <f>Tabla33[[#This Row],[P1 + P4]]*VLOOKUP(MONTH(Tabla33[[#This Row],[Fecha final]]),Tabla20[#All],2,FALSE)</f>
        <v>115</v>
      </c>
      <c r="I10" s="16">
        <f>Tabla33[[#This Row],[P2 + P5]]*VLOOKUP(MONTH(Tabla33[[#This Row],[Fecha final]]),Tabla20[#All],3,FALSE)</f>
        <v>909</v>
      </c>
      <c r="J10" s="16">
        <f>(Tabla33[[#This Row],[P3 + P6]])*VLOOKUP(MONTH(Tabla33[[#This Row],[Fecha final]]),Tabla20[#All],4,FALSE)</f>
        <v>0</v>
      </c>
      <c r="K10" s="16">
        <f>Tabla33[[#This Row],[P1 + P4]]*VLOOKUP(MONTH(Tabla33[[#This Row],[Fecha final]]),Tabla20[#All],5,FALSE)</f>
        <v>0</v>
      </c>
      <c r="L10" s="16">
        <f>Tabla33[[#This Row],[P2 + P5]]*VLOOKUP(MONTH(Tabla33[[#This Row],[Fecha final]]),Tabla20[#All],6,FALSE)</f>
        <v>0</v>
      </c>
      <c r="M10" s="16">
        <f>Tabla33[[#This Row],[P3 + P6]]*VLOOKUP(MONTH(Tabla33[[#This Row],[Fecha final]]),Tabla20[#All],7,FALSE)</f>
        <v>138</v>
      </c>
      <c r="N10" s="16">
        <f>YEAR(Tabla33[[#This Row],[Fecha final]])</f>
        <v>2021</v>
      </c>
    </row>
    <row r="11" spans="1:14">
      <c r="A11" s="17">
        <v>44243</v>
      </c>
      <c r="B11" s="17">
        <v>44272</v>
      </c>
      <c r="C11" s="16">
        <v>29</v>
      </c>
      <c r="D11" s="16" t="s">
        <v>42</v>
      </c>
      <c r="E11" s="16">
        <v>189</v>
      </c>
      <c r="F11" s="16">
        <v>875</v>
      </c>
      <c r="G11" s="16">
        <v>292</v>
      </c>
      <c r="H11" s="16">
        <f>Tabla33[[#This Row],[P1 + P4]]*VLOOKUP(MONTH(Tabla33[[#This Row],[Fecha final]]),Tabla20[#All],2,FALSE)</f>
        <v>0</v>
      </c>
      <c r="I11" s="16">
        <f>Tabla33[[#This Row],[P2 + P5]]*VLOOKUP(MONTH(Tabla33[[#This Row],[Fecha final]]),Tabla20[#All],3,FALSE)</f>
        <v>875</v>
      </c>
      <c r="J11" s="16">
        <f>(Tabla33[[#This Row],[P3 + P6]])*VLOOKUP(MONTH(Tabla33[[#This Row],[Fecha final]]),Tabla20[#All],4,FALSE)</f>
        <v>87.541600000000003</v>
      </c>
      <c r="K11" s="16">
        <f>Tabla33[[#This Row],[P1 + P4]]*VLOOKUP(MONTH(Tabla33[[#This Row],[Fecha final]]),Tabla20[#All],5,FALSE)</f>
        <v>0</v>
      </c>
      <c r="L11" s="16">
        <f>Tabla33[[#This Row],[P2 + P5]]*VLOOKUP(MONTH(Tabla33[[#This Row],[Fecha final]]),Tabla20[#All],6,FALSE)</f>
        <v>0</v>
      </c>
      <c r="M11" s="16">
        <f>Tabla33[[#This Row],[P3 + P6]]*VLOOKUP(MONTH(Tabla33[[#This Row],[Fecha final]]),Tabla20[#All],7,FALSE)</f>
        <v>204.45840000000001</v>
      </c>
      <c r="N11" s="16">
        <f>YEAR(Tabla33[[#This Row],[Fecha final]])</f>
        <v>2021</v>
      </c>
    </row>
    <row r="12" spans="1:14">
      <c r="A12" s="17">
        <v>44272</v>
      </c>
      <c r="B12" s="17">
        <v>44286</v>
      </c>
      <c r="C12" s="16">
        <v>14</v>
      </c>
      <c r="D12" s="16" t="s">
        <v>42</v>
      </c>
      <c r="E12" s="16">
        <v>104</v>
      </c>
      <c r="F12" s="16">
        <v>351</v>
      </c>
      <c r="G12" s="16">
        <v>32</v>
      </c>
      <c r="H12" s="16">
        <f>Tabla33[[#This Row],[P1 + P4]]*VLOOKUP(MONTH(Tabla33[[#This Row],[Fecha final]]),Tabla20[#All],2,FALSE)</f>
        <v>0</v>
      </c>
      <c r="I12" s="16">
        <f>Tabla33[[#This Row],[P2 + P5]]*VLOOKUP(MONTH(Tabla33[[#This Row],[Fecha final]]),Tabla20[#All],3,FALSE)</f>
        <v>351</v>
      </c>
      <c r="J12" s="16">
        <f>(Tabla33[[#This Row],[P3 + P6]])*VLOOKUP(MONTH(Tabla33[[#This Row],[Fecha final]]),Tabla20[#All],4,FALSE)</f>
        <v>9.5936000000000003</v>
      </c>
      <c r="K12" s="16">
        <f>Tabla33[[#This Row],[P1 + P4]]*VLOOKUP(MONTH(Tabla33[[#This Row],[Fecha final]]),Tabla20[#All],5,FALSE)</f>
        <v>0</v>
      </c>
      <c r="L12" s="16">
        <f>Tabla33[[#This Row],[P2 + P5]]*VLOOKUP(MONTH(Tabla33[[#This Row],[Fecha final]]),Tabla20[#All],6,FALSE)</f>
        <v>0</v>
      </c>
      <c r="M12" s="16">
        <f>Tabla33[[#This Row],[P3 + P6]]*VLOOKUP(MONTH(Tabla33[[#This Row],[Fecha final]]),Tabla20[#All],7,FALSE)</f>
        <v>22.406400000000001</v>
      </c>
      <c r="N12" s="16">
        <f>YEAR(Tabla33[[#This Row],[Fecha final]])</f>
        <v>2021</v>
      </c>
    </row>
    <row r="13" spans="1:14">
      <c r="A13" s="17">
        <v>44286</v>
      </c>
      <c r="B13" s="17">
        <v>44334</v>
      </c>
      <c r="C13" s="16">
        <v>48</v>
      </c>
      <c r="D13" s="16" t="s">
        <v>42</v>
      </c>
      <c r="E13" s="16">
        <v>6</v>
      </c>
      <c r="F13" s="16">
        <v>13</v>
      </c>
      <c r="G13" s="16">
        <v>6</v>
      </c>
      <c r="H13" s="16">
        <f>Tabla33[[#This Row],[P1 + P4]]*VLOOKUP(MONTH(Tabla33[[#This Row],[Fecha final]]),Tabla20[#All],2,FALSE)</f>
        <v>0</v>
      </c>
      <c r="I13" s="16">
        <f>Tabla33[[#This Row],[P2 + P5]]*VLOOKUP(MONTH(Tabla33[[#This Row],[Fecha final]]),Tabla20[#All],3,FALSE)</f>
        <v>0</v>
      </c>
      <c r="J13" s="16">
        <f>(Tabla33[[#This Row],[P3 + P6]])*VLOOKUP(MONTH(Tabla33[[#This Row],[Fecha final]]),Tabla20[#All],4,FALSE)</f>
        <v>0</v>
      </c>
      <c r="K13" s="16">
        <f>Tabla33[[#This Row],[P1 + P4]]*VLOOKUP(MONTH(Tabla33[[#This Row],[Fecha final]]),Tabla20[#All],5,FALSE)</f>
        <v>6</v>
      </c>
      <c r="L13" s="16">
        <f>Tabla33[[#This Row],[P2 + P5]]*VLOOKUP(MONTH(Tabla33[[#This Row],[Fecha final]]),Tabla20[#All],6,FALSE)</f>
        <v>13</v>
      </c>
      <c r="M13" s="16">
        <f>Tabla33[[#This Row],[P3 + P6]]*VLOOKUP(MONTH(Tabla33[[#This Row],[Fecha final]]),Tabla20[#All],7,FALSE)</f>
        <v>6</v>
      </c>
      <c r="N13" s="16">
        <f>YEAR(Tabla33[[#This Row],[Fecha final]])</f>
        <v>2021</v>
      </c>
    </row>
    <row r="14" spans="1:14">
      <c r="A14" s="17">
        <v>44334</v>
      </c>
      <c r="B14" s="17">
        <v>44337</v>
      </c>
      <c r="C14" s="16">
        <v>3</v>
      </c>
      <c r="D14" s="16" t="s">
        <v>42</v>
      </c>
      <c r="E14" s="16">
        <v>6</v>
      </c>
      <c r="F14" s="16">
        <v>14</v>
      </c>
      <c r="G14" s="16">
        <v>6</v>
      </c>
      <c r="H14" s="16">
        <f>Tabla33[[#This Row],[P1 + P4]]*VLOOKUP(MONTH(Tabla33[[#This Row],[Fecha final]]),Tabla20[#All],2,FALSE)</f>
        <v>0</v>
      </c>
      <c r="I14" s="16">
        <f>Tabla33[[#This Row],[P2 + P5]]*VLOOKUP(MONTH(Tabla33[[#This Row],[Fecha final]]),Tabla20[#All],3,FALSE)</f>
        <v>0</v>
      </c>
      <c r="J14" s="16">
        <f>(Tabla33[[#This Row],[P3 + P6]])*VLOOKUP(MONTH(Tabla33[[#This Row],[Fecha final]]),Tabla20[#All],4,FALSE)</f>
        <v>0</v>
      </c>
      <c r="K14" s="16">
        <f>Tabla33[[#This Row],[P1 + P4]]*VLOOKUP(MONTH(Tabla33[[#This Row],[Fecha final]]),Tabla20[#All],5,FALSE)</f>
        <v>6</v>
      </c>
      <c r="L14" s="16">
        <f>Tabla33[[#This Row],[P2 + P5]]*VLOOKUP(MONTH(Tabla33[[#This Row],[Fecha final]]),Tabla20[#All],6,FALSE)</f>
        <v>14</v>
      </c>
      <c r="M14" s="16">
        <f>Tabla33[[#This Row],[P3 + P6]]*VLOOKUP(MONTH(Tabla33[[#This Row],[Fecha final]]),Tabla20[#All],7,FALSE)</f>
        <v>6</v>
      </c>
      <c r="N14" s="16">
        <f>YEAR(Tabla33[[#This Row],[Fecha final]])</f>
        <v>2021</v>
      </c>
    </row>
    <row r="15" spans="1:14">
      <c r="A15" s="17">
        <v>44337</v>
      </c>
      <c r="B15" s="17">
        <v>44347</v>
      </c>
      <c r="C15" s="16">
        <v>10</v>
      </c>
      <c r="D15" s="16" t="s">
        <v>42</v>
      </c>
      <c r="E15" s="16">
        <v>24</v>
      </c>
      <c r="F15" s="16">
        <v>60</v>
      </c>
      <c r="G15" s="16">
        <v>27</v>
      </c>
      <c r="H15" s="16">
        <f>Tabla33[[#This Row],[P1 + P4]]*VLOOKUP(MONTH(Tabla33[[#This Row],[Fecha final]]),Tabla20[#All],2,FALSE)</f>
        <v>0</v>
      </c>
      <c r="I15" s="16">
        <f>Tabla33[[#This Row],[P2 + P5]]*VLOOKUP(MONTH(Tabla33[[#This Row],[Fecha final]]),Tabla20[#All],3,FALSE)</f>
        <v>0</v>
      </c>
      <c r="J15" s="16">
        <f>(Tabla33[[#This Row],[P3 + P6]])*VLOOKUP(MONTH(Tabla33[[#This Row],[Fecha final]]),Tabla20[#All],4,FALSE)</f>
        <v>0</v>
      </c>
      <c r="K15" s="16">
        <f>Tabla33[[#This Row],[P1 + P4]]*VLOOKUP(MONTH(Tabla33[[#This Row],[Fecha final]]),Tabla20[#All],5,FALSE)</f>
        <v>24</v>
      </c>
      <c r="L15" s="16">
        <f>Tabla33[[#This Row],[P2 + P5]]*VLOOKUP(MONTH(Tabla33[[#This Row],[Fecha final]]),Tabla20[#All],6,FALSE)</f>
        <v>60</v>
      </c>
      <c r="M15" s="16">
        <f>Tabla33[[#This Row],[P3 + P6]]*VLOOKUP(MONTH(Tabla33[[#This Row],[Fecha final]]),Tabla20[#All],7,FALSE)</f>
        <v>27</v>
      </c>
      <c r="N15" s="16">
        <f>YEAR(Tabla33[[#This Row],[Fecha final]])</f>
        <v>2021</v>
      </c>
    </row>
    <row r="16" spans="1:14">
      <c r="A16" s="17">
        <v>44347</v>
      </c>
      <c r="B16" s="17">
        <v>44397</v>
      </c>
      <c r="C16" s="16">
        <v>50</v>
      </c>
      <c r="D16" s="16" t="s">
        <v>42</v>
      </c>
      <c r="E16" s="16">
        <v>966</v>
      </c>
      <c r="F16" s="16">
        <v>1280</v>
      </c>
      <c r="G16" s="16">
        <v>936</v>
      </c>
      <c r="H16" s="16">
        <f>Tabla33[[#This Row],[P1 + P4]]*VLOOKUP(MONTH(Tabla33[[#This Row],[Fecha final]]),Tabla20[#All],2,FALSE)</f>
        <v>966</v>
      </c>
      <c r="I16" s="16">
        <f>Tabla33[[#This Row],[P2 + P5]]*VLOOKUP(MONTH(Tabla33[[#This Row],[Fecha final]]),Tabla20[#All],3,FALSE)</f>
        <v>1280</v>
      </c>
      <c r="J16" s="16">
        <f>(Tabla33[[#This Row],[P3 + P6]])*VLOOKUP(MONTH(Tabla33[[#This Row],[Fecha final]]),Tabla20[#All],4,FALSE)</f>
        <v>0</v>
      </c>
      <c r="K16" s="16">
        <f>Tabla33[[#This Row],[P1 + P4]]*VLOOKUP(MONTH(Tabla33[[#This Row],[Fecha final]]),Tabla20[#All],5,FALSE)</f>
        <v>0</v>
      </c>
      <c r="L16" s="16">
        <f>Tabla33[[#This Row],[P2 + P5]]*VLOOKUP(MONTH(Tabla33[[#This Row],[Fecha final]]),Tabla20[#All],6,FALSE)</f>
        <v>0</v>
      </c>
      <c r="M16" s="16">
        <f>Tabla33[[#This Row],[P3 + P6]]*VLOOKUP(MONTH(Tabla33[[#This Row],[Fecha final]]),Tabla20[#All],7,FALSE)</f>
        <v>936</v>
      </c>
      <c r="N16" s="16">
        <f>YEAR(Tabla33[[#This Row],[Fecha final]])</f>
        <v>2021</v>
      </c>
    </row>
    <row r="17" spans="1:14">
      <c r="A17" s="17">
        <v>44397</v>
      </c>
      <c r="B17" s="17">
        <v>44425</v>
      </c>
      <c r="C17" s="16">
        <v>28</v>
      </c>
      <c r="D17" s="16" t="s">
        <v>42</v>
      </c>
      <c r="E17" s="16">
        <v>356</v>
      </c>
      <c r="F17" s="16">
        <v>107</v>
      </c>
      <c r="G17" s="16">
        <v>575</v>
      </c>
      <c r="H17" s="16">
        <f>Tabla33[[#This Row],[P1 + P4]]*VLOOKUP(MONTH(Tabla33[[#This Row],[Fecha final]]),Tabla20[#All],2,FALSE)</f>
        <v>0</v>
      </c>
      <c r="I17" s="16">
        <f>Tabla33[[#This Row],[P2 + P5]]*VLOOKUP(MONTH(Tabla33[[#This Row],[Fecha final]]),Tabla20[#All],3,FALSE)</f>
        <v>0</v>
      </c>
      <c r="J17" s="16">
        <f>(Tabla33[[#This Row],[P3 + P6]])*VLOOKUP(MONTH(Tabla33[[#This Row],[Fecha final]]),Tabla20[#All],4,FALSE)</f>
        <v>192.97</v>
      </c>
      <c r="K17" s="16">
        <f>Tabla33[[#This Row],[P1 + P4]]*VLOOKUP(MONTH(Tabla33[[#This Row],[Fecha final]]),Tabla20[#All],5,FALSE)</f>
        <v>356</v>
      </c>
      <c r="L17" s="16">
        <f>Tabla33[[#This Row],[P2 + P5]]*VLOOKUP(MONTH(Tabla33[[#This Row],[Fecha final]]),Tabla20[#All],6,FALSE)</f>
        <v>0</v>
      </c>
      <c r="M17" s="16">
        <f>Tabla33[[#This Row],[P3 + P6]]*VLOOKUP(MONTH(Tabla33[[#This Row],[Fecha final]]),Tabla20[#All],7,FALSE)</f>
        <v>382.03</v>
      </c>
      <c r="N17" s="16">
        <f>YEAR(Tabla33[[#This Row],[Fecha final]])</f>
        <v>2021</v>
      </c>
    </row>
    <row r="18" spans="1:14">
      <c r="A18" s="17">
        <v>44425</v>
      </c>
      <c r="B18" s="17">
        <v>44431</v>
      </c>
      <c r="C18" s="16">
        <v>6</v>
      </c>
      <c r="D18" s="16" t="s">
        <v>42</v>
      </c>
      <c r="E18" s="16">
        <v>29</v>
      </c>
      <c r="F18" s="16">
        <v>0</v>
      </c>
      <c r="G18" s="16">
        <v>111</v>
      </c>
      <c r="H18" s="16">
        <f>Tabla33[[#This Row],[P1 + P4]]*VLOOKUP(MONTH(Tabla33[[#This Row],[Fecha final]]),Tabla20[#All],2,FALSE)</f>
        <v>0</v>
      </c>
      <c r="I18" s="16">
        <f>Tabla33[[#This Row],[P2 + P5]]*VLOOKUP(MONTH(Tabla33[[#This Row],[Fecha final]]),Tabla20[#All],3,FALSE)</f>
        <v>0</v>
      </c>
      <c r="J18" s="16">
        <f>(Tabla33[[#This Row],[P3 + P6]])*VLOOKUP(MONTH(Tabla33[[#This Row],[Fecha final]]),Tabla20[#All],4,FALSE)</f>
        <v>37.251600000000003</v>
      </c>
      <c r="K18" s="16">
        <f>Tabla33[[#This Row],[P1 + P4]]*VLOOKUP(MONTH(Tabla33[[#This Row],[Fecha final]]),Tabla20[#All],5,FALSE)</f>
        <v>29</v>
      </c>
      <c r="L18" s="16">
        <f>Tabla33[[#This Row],[P2 + P5]]*VLOOKUP(MONTH(Tabla33[[#This Row],[Fecha final]]),Tabla20[#All],6,FALSE)</f>
        <v>0</v>
      </c>
      <c r="M18" s="16">
        <f>Tabla33[[#This Row],[P3 + P6]]*VLOOKUP(MONTH(Tabla33[[#This Row],[Fecha final]]),Tabla20[#All],7,FALSE)</f>
        <v>73.748400000000004</v>
      </c>
      <c r="N18" s="16">
        <f>YEAR(Tabla33[[#This Row],[Fecha final]])</f>
        <v>2021</v>
      </c>
    </row>
    <row r="19" spans="1:14">
      <c r="A19" s="17">
        <v>44431</v>
      </c>
      <c r="B19" s="17">
        <v>44458</v>
      </c>
      <c r="C19" s="16">
        <v>27</v>
      </c>
      <c r="D19" s="16" t="s">
        <v>42</v>
      </c>
      <c r="E19" s="16">
        <v>215</v>
      </c>
      <c r="F19" s="16">
        <v>0</v>
      </c>
      <c r="G19" s="16">
        <v>805</v>
      </c>
      <c r="H19" s="16">
        <f>Tabla33[[#This Row],[P1 + P4]]*VLOOKUP(MONTH(Tabla33[[#This Row],[Fecha final]]),Tabla20[#All],2,FALSE)</f>
        <v>0</v>
      </c>
      <c r="I19" s="16">
        <f>Tabla33[[#This Row],[P2 + P5]]*VLOOKUP(MONTH(Tabla33[[#This Row],[Fecha final]]),Tabla20[#All],3,FALSE)</f>
        <v>0</v>
      </c>
      <c r="J19" s="16">
        <f>(Tabla33[[#This Row],[P3 + P6]])*VLOOKUP(MONTH(Tabla33[[#This Row],[Fecha final]]),Tabla20[#All],4,FALSE)</f>
        <v>281.589</v>
      </c>
      <c r="K19" s="16">
        <f>Tabla33[[#This Row],[P1 + P4]]*VLOOKUP(MONTH(Tabla33[[#This Row],[Fecha final]]),Tabla20[#All],5,FALSE)</f>
        <v>215</v>
      </c>
      <c r="L19" s="16">
        <f>Tabla33[[#This Row],[P2 + P5]]*VLOOKUP(MONTH(Tabla33[[#This Row],[Fecha final]]),Tabla20[#All],6,FALSE)</f>
        <v>0</v>
      </c>
      <c r="M19" s="16">
        <f>Tabla33[[#This Row],[P3 + P6]]*VLOOKUP(MONTH(Tabla33[[#This Row],[Fecha final]]),Tabla20[#All],7,FALSE)</f>
        <v>523.41099999999994</v>
      </c>
      <c r="N19" s="16">
        <f>YEAR(Tabla33[[#This Row],[Fecha final]])</f>
        <v>2021</v>
      </c>
    </row>
    <row r="20" spans="1:14">
      <c r="A20" s="17">
        <v>44458</v>
      </c>
      <c r="B20" s="17">
        <v>44469</v>
      </c>
      <c r="C20" s="16">
        <v>11</v>
      </c>
      <c r="D20" s="16" t="s">
        <v>42</v>
      </c>
      <c r="E20" s="16">
        <v>146</v>
      </c>
      <c r="F20" s="16">
        <v>0</v>
      </c>
      <c r="G20" s="16">
        <v>197</v>
      </c>
      <c r="H20" s="16">
        <f>Tabla33[[#This Row],[P1 + P4]]*VLOOKUP(MONTH(Tabla33[[#This Row],[Fecha final]]),Tabla20[#All],2,FALSE)</f>
        <v>0</v>
      </c>
      <c r="I20" s="16">
        <f>Tabla33[[#This Row],[P2 + P5]]*VLOOKUP(MONTH(Tabla33[[#This Row],[Fecha final]]),Tabla20[#All],3,FALSE)</f>
        <v>0</v>
      </c>
      <c r="J20" s="16">
        <f>(Tabla33[[#This Row],[P3 + P6]])*VLOOKUP(MONTH(Tabla33[[#This Row],[Fecha final]]),Tabla20[#All],4,FALSE)</f>
        <v>68.910600000000002</v>
      </c>
      <c r="K20" s="16">
        <f>Tabla33[[#This Row],[P1 + P4]]*VLOOKUP(MONTH(Tabla33[[#This Row],[Fecha final]]),Tabla20[#All],5,FALSE)</f>
        <v>146</v>
      </c>
      <c r="L20" s="16">
        <f>Tabla33[[#This Row],[P2 + P5]]*VLOOKUP(MONTH(Tabla33[[#This Row],[Fecha final]]),Tabla20[#All],6,FALSE)</f>
        <v>0</v>
      </c>
      <c r="M20" s="16">
        <f>Tabla33[[#This Row],[P3 + P6]]*VLOOKUP(MONTH(Tabla33[[#This Row],[Fecha final]]),Tabla20[#All],7,FALSE)</f>
        <v>128.08940000000001</v>
      </c>
      <c r="N20" s="16">
        <f>YEAR(Tabla33[[#This Row],[Fecha final]])</f>
        <v>2021</v>
      </c>
    </row>
    <row r="21" spans="1:14">
      <c r="A21" s="17">
        <v>44469</v>
      </c>
      <c r="B21" s="17">
        <v>44500</v>
      </c>
      <c r="C21" s="16">
        <v>31</v>
      </c>
      <c r="D21" s="16" t="s">
        <v>42</v>
      </c>
      <c r="E21" s="16">
        <v>247</v>
      </c>
      <c r="F21" s="16">
        <v>174</v>
      </c>
      <c r="G21" s="16">
        <v>246</v>
      </c>
      <c r="H21" s="16">
        <f>Tabla33[[#This Row],[P1 + P4]]*VLOOKUP(MONTH(Tabla33[[#This Row],[Fecha final]]),Tabla20[#All],2,FALSE)</f>
        <v>0</v>
      </c>
      <c r="I21" s="16">
        <f>Tabla33[[#This Row],[P2 + P5]]*VLOOKUP(MONTH(Tabla33[[#This Row],[Fecha final]]),Tabla20[#All],3,FALSE)</f>
        <v>0</v>
      </c>
      <c r="J21" s="16">
        <f>(Tabla33[[#This Row],[P3 + P6]])*VLOOKUP(MONTH(Tabla33[[#This Row],[Fecha final]]),Tabla20[#All],4,FALSE)</f>
        <v>0</v>
      </c>
      <c r="K21" s="16">
        <f>Tabla33[[#This Row],[P1 + P4]]*VLOOKUP(MONTH(Tabla33[[#This Row],[Fecha final]]),Tabla20[#All],5,FALSE)</f>
        <v>247</v>
      </c>
      <c r="L21" s="16">
        <f>Tabla33[[#This Row],[P2 + P5]]*VLOOKUP(MONTH(Tabla33[[#This Row],[Fecha final]]),Tabla20[#All],6,FALSE)</f>
        <v>174</v>
      </c>
      <c r="M21" s="16">
        <f>Tabla33[[#This Row],[P3 + P6]]*VLOOKUP(MONTH(Tabla33[[#This Row],[Fecha final]]),Tabla20[#All],7,FALSE)</f>
        <v>246</v>
      </c>
      <c r="N21" s="16">
        <f>YEAR(Tabla33[[#This Row],[Fecha final]])</f>
        <v>2021</v>
      </c>
    </row>
    <row r="22" spans="1:14">
      <c r="A22" s="17">
        <v>44500</v>
      </c>
      <c r="B22" s="17">
        <v>44530</v>
      </c>
      <c r="C22" s="16">
        <v>30</v>
      </c>
      <c r="D22" s="16" t="s">
        <v>42</v>
      </c>
      <c r="E22" s="16">
        <v>0</v>
      </c>
      <c r="F22" s="16">
        <v>534</v>
      </c>
      <c r="G22" s="16">
        <v>642</v>
      </c>
      <c r="H22" s="16">
        <f>Tabla33[[#This Row],[P1 + P4]]*VLOOKUP(MONTH(Tabla33[[#This Row],[Fecha final]]),Tabla20[#All],2,FALSE)</f>
        <v>0</v>
      </c>
      <c r="I22" s="16">
        <f>Tabla33[[#This Row],[P2 + P5]]*VLOOKUP(MONTH(Tabla33[[#This Row],[Fecha final]]),Tabla20[#All],3,FALSE)</f>
        <v>534</v>
      </c>
      <c r="J22" s="16">
        <f>(Tabla33[[#This Row],[P3 + P6]])*VLOOKUP(MONTH(Tabla33[[#This Row],[Fecha final]]),Tabla20[#All],4,FALSE)</f>
        <v>177.7056</v>
      </c>
      <c r="K22" s="16">
        <f>Tabla33[[#This Row],[P1 + P4]]*VLOOKUP(MONTH(Tabla33[[#This Row],[Fecha final]]),Tabla20[#All],5,FALSE)</f>
        <v>0</v>
      </c>
      <c r="L22" s="16">
        <f>Tabla33[[#This Row],[P2 + P5]]*VLOOKUP(MONTH(Tabla33[[#This Row],[Fecha final]]),Tabla20[#All],6,FALSE)</f>
        <v>0</v>
      </c>
      <c r="M22" s="16">
        <f>Tabla33[[#This Row],[P3 + P6]]*VLOOKUP(MONTH(Tabla33[[#This Row],[Fecha final]]),Tabla20[#All],7,FALSE)</f>
        <v>464.2944</v>
      </c>
      <c r="N22" s="16">
        <f>YEAR(Tabla33[[#This Row],[Fecha final]])</f>
        <v>2021</v>
      </c>
    </row>
    <row r="23" spans="1:14">
      <c r="A23" s="17">
        <v>44530</v>
      </c>
      <c r="B23" s="17">
        <v>44532</v>
      </c>
      <c r="C23" s="16">
        <v>2</v>
      </c>
      <c r="D23" s="16" t="s">
        <v>42</v>
      </c>
      <c r="E23" s="16">
        <v>61</v>
      </c>
      <c r="F23" s="16">
        <v>49</v>
      </c>
      <c r="G23" s="16">
        <v>23</v>
      </c>
      <c r="H23" s="16">
        <f>Tabla33[[#This Row],[P1 + P4]]*VLOOKUP(MONTH(Tabla33[[#This Row],[Fecha final]]),Tabla20[#All],2,FALSE)</f>
        <v>61</v>
      </c>
      <c r="I23" s="16">
        <f>Tabla33[[#This Row],[P2 + P5]]*VLOOKUP(MONTH(Tabla33[[#This Row],[Fecha final]]),Tabla20[#All],3,FALSE)</f>
        <v>49</v>
      </c>
      <c r="J23" s="16">
        <f>(Tabla33[[#This Row],[P3 + P6]])*VLOOKUP(MONTH(Tabla33[[#This Row],[Fecha final]]),Tabla20[#All],4,FALSE)</f>
        <v>0</v>
      </c>
      <c r="K23" s="16">
        <f>Tabla33[[#This Row],[P1 + P4]]*VLOOKUP(MONTH(Tabla33[[#This Row],[Fecha final]]),Tabla20[#All],5,FALSE)</f>
        <v>0</v>
      </c>
      <c r="L23" s="16">
        <f>Tabla33[[#This Row],[P2 + P5]]*VLOOKUP(MONTH(Tabla33[[#This Row],[Fecha final]]),Tabla20[#All],6,FALSE)</f>
        <v>0</v>
      </c>
      <c r="M23" s="16">
        <f>Tabla33[[#This Row],[P3 + P6]]*VLOOKUP(MONTH(Tabla33[[#This Row],[Fecha final]]),Tabla20[#All],7,FALSE)</f>
        <v>23</v>
      </c>
      <c r="N23" s="16">
        <f>YEAR(Tabla33[[#This Row],[Fecha final]])</f>
        <v>2021</v>
      </c>
    </row>
    <row r="24" spans="1:14">
      <c r="A24" s="17">
        <v>44532</v>
      </c>
      <c r="B24" s="17">
        <v>44561</v>
      </c>
      <c r="C24" s="16">
        <v>29</v>
      </c>
      <c r="D24" s="16" t="s">
        <v>42</v>
      </c>
      <c r="E24" s="16">
        <v>470</v>
      </c>
      <c r="F24" s="16">
        <v>365</v>
      </c>
      <c r="G24" s="16">
        <v>240</v>
      </c>
      <c r="H24" s="16">
        <f>Tabla33[[#This Row],[P1 + P4]]*VLOOKUP(MONTH(Tabla33[[#This Row],[Fecha final]]),Tabla20[#All],2,FALSE)</f>
        <v>470</v>
      </c>
      <c r="I24" s="16">
        <f>Tabla33[[#This Row],[P2 + P5]]*VLOOKUP(MONTH(Tabla33[[#This Row],[Fecha final]]),Tabla20[#All],3,FALSE)</f>
        <v>365</v>
      </c>
      <c r="J24" s="16">
        <f>(Tabla33[[#This Row],[P3 + P6]])*VLOOKUP(MONTH(Tabla33[[#This Row],[Fecha final]]),Tabla20[#All],4,FALSE)</f>
        <v>0</v>
      </c>
      <c r="K24" s="16">
        <f>Tabla33[[#This Row],[P1 + P4]]*VLOOKUP(MONTH(Tabla33[[#This Row],[Fecha final]]),Tabla20[#All],5,FALSE)</f>
        <v>0</v>
      </c>
      <c r="L24" s="16">
        <f>Tabla33[[#This Row],[P2 + P5]]*VLOOKUP(MONTH(Tabla33[[#This Row],[Fecha final]]),Tabla20[#All],6,FALSE)</f>
        <v>0</v>
      </c>
      <c r="M24" s="16">
        <f>Tabla33[[#This Row],[P3 + P6]]*VLOOKUP(MONTH(Tabla33[[#This Row],[Fecha final]]),Tabla20[#All],7,FALSE)</f>
        <v>240</v>
      </c>
      <c r="N24" s="16">
        <f>YEAR(Tabla33[[#This Row],[Fecha final]])</f>
        <v>2021</v>
      </c>
    </row>
    <row r="25" spans="1:14">
      <c r="A25" s="17">
        <v>44561</v>
      </c>
      <c r="B25" s="17">
        <v>44592</v>
      </c>
      <c r="C25" s="16">
        <v>31</v>
      </c>
      <c r="D25" s="16" t="s">
        <v>42</v>
      </c>
      <c r="E25" s="16">
        <v>204</v>
      </c>
      <c r="F25" s="16">
        <v>127</v>
      </c>
      <c r="G25" s="16">
        <v>211</v>
      </c>
      <c r="H25" s="16">
        <f>Tabla33[[#This Row],[P1 + P4]]*VLOOKUP(MONTH(Tabla33[[#This Row],[Fecha final]]),Tabla20[#All],2,FALSE)</f>
        <v>204</v>
      </c>
      <c r="I25" s="16">
        <f>Tabla33[[#This Row],[P2 + P5]]*VLOOKUP(MONTH(Tabla33[[#This Row],[Fecha final]]),Tabla20[#All],3,FALSE)</f>
        <v>127</v>
      </c>
      <c r="J25" s="16">
        <f>(Tabla33[[#This Row],[P3 + P6]])*VLOOKUP(MONTH(Tabla33[[#This Row],[Fecha final]]),Tabla20[#All],4,FALSE)</f>
        <v>0</v>
      </c>
      <c r="K25" s="16">
        <f>Tabla33[[#This Row],[P1 + P4]]*VLOOKUP(MONTH(Tabla33[[#This Row],[Fecha final]]),Tabla20[#All],5,FALSE)</f>
        <v>0</v>
      </c>
      <c r="L25" s="16">
        <f>Tabla33[[#This Row],[P2 + P5]]*VLOOKUP(MONTH(Tabla33[[#This Row],[Fecha final]]),Tabla20[#All],6,FALSE)</f>
        <v>0</v>
      </c>
      <c r="M25" s="16">
        <f>Tabla33[[#This Row],[P3 + P6]]*VLOOKUP(MONTH(Tabla33[[#This Row],[Fecha final]]),Tabla20[#All],7,FALSE)</f>
        <v>211</v>
      </c>
      <c r="N25" s="16">
        <f>YEAR(Tabla33[[#This Row],[Fecha final]])</f>
        <v>2022</v>
      </c>
    </row>
    <row r="26" spans="1:14">
      <c r="A26" s="17">
        <v>44592</v>
      </c>
      <c r="B26" s="17">
        <v>44620</v>
      </c>
      <c r="C26" s="16">
        <v>28</v>
      </c>
      <c r="D26" s="16" t="s">
        <v>42</v>
      </c>
      <c r="E26" s="16">
        <v>616</v>
      </c>
      <c r="F26" s="16">
        <v>343</v>
      </c>
      <c r="G26" s="16">
        <v>192</v>
      </c>
      <c r="H26" s="16">
        <f>Tabla33[[#This Row],[P1 + P4]]*VLOOKUP(MONTH(Tabla33[[#This Row],[Fecha final]]),Tabla20[#All],2,FALSE)</f>
        <v>616</v>
      </c>
      <c r="I26" s="16">
        <f>Tabla33[[#This Row],[P2 + P5]]*VLOOKUP(MONTH(Tabla33[[#This Row],[Fecha final]]),Tabla20[#All],3,FALSE)</f>
        <v>343</v>
      </c>
      <c r="J26" s="16">
        <f>(Tabla33[[#This Row],[P3 + P6]])*VLOOKUP(MONTH(Tabla33[[#This Row],[Fecha final]]),Tabla20[#All],4,FALSE)</f>
        <v>0</v>
      </c>
      <c r="K26" s="16">
        <f>Tabla33[[#This Row],[P1 + P4]]*VLOOKUP(MONTH(Tabla33[[#This Row],[Fecha final]]),Tabla20[#All],5,FALSE)</f>
        <v>0</v>
      </c>
      <c r="L26" s="16">
        <f>Tabla33[[#This Row],[P2 + P5]]*VLOOKUP(MONTH(Tabla33[[#This Row],[Fecha final]]),Tabla20[#All],6,FALSE)</f>
        <v>0</v>
      </c>
      <c r="M26" s="16">
        <f>Tabla33[[#This Row],[P3 + P6]]*VLOOKUP(MONTH(Tabla33[[#This Row],[Fecha final]]),Tabla20[#All],7,FALSE)</f>
        <v>192</v>
      </c>
      <c r="N26" s="16">
        <f>YEAR(Tabla33[[#This Row],[Fecha final]])</f>
        <v>2022</v>
      </c>
    </row>
    <row r="27" spans="1:14">
      <c r="A27" s="17">
        <v>44620</v>
      </c>
      <c r="B27" s="17">
        <v>44651</v>
      </c>
      <c r="C27" s="16">
        <v>31</v>
      </c>
      <c r="D27" s="16" t="s">
        <v>42</v>
      </c>
      <c r="E27" s="16">
        <v>0</v>
      </c>
      <c r="F27" s="16">
        <v>472</v>
      </c>
      <c r="G27" s="16">
        <v>505</v>
      </c>
      <c r="H27" s="16">
        <f>Tabla33[[#This Row],[P1 + P4]]*VLOOKUP(MONTH(Tabla33[[#This Row],[Fecha final]]),Tabla20[#All],2,FALSE)</f>
        <v>0</v>
      </c>
      <c r="I27" s="16">
        <f>Tabla33[[#This Row],[P2 + P5]]*VLOOKUP(MONTH(Tabla33[[#This Row],[Fecha final]]),Tabla20[#All],3,FALSE)</f>
        <v>472</v>
      </c>
      <c r="J27" s="16">
        <f>(Tabla33[[#This Row],[P3 + P6]])*VLOOKUP(MONTH(Tabla33[[#This Row],[Fecha final]]),Tabla20[#All],4,FALSE)</f>
        <v>151.399</v>
      </c>
      <c r="K27" s="16">
        <f>Tabla33[[#This Row],[P1 + P4]]*VLOOKUP(MONTH(Tabla33[[#This Row],[Fecha final]]),Tabla20[#All],5,FALSE)</f>
        <v>0</v>
      </c>
      <c r="L27" s="16">
        <f>Tabla33[[#This Row],[P2 + P5]]*VLOOKUP(MONTH(Tabla33[[#This Row],[Fecha final]]),Tabla20[#All],6,FALSE)</f>
        <v>0</v>
      </c>
      <c r="M27" s="16">
        <f>Tabla33[[#This Row],[P3 + P6]]*VLOOKUP(MONTH(Tabla33[[#This Row],[Fecha final]]),Tabla20[#All],7,FALSE)</f>
        <v>353.601</v>
      </c>
      <c r="N27" s="16">
        <f>YEAR(Tabla33[[#This Row],[Fecha final]])</f>
        <v>2022</v>
      </c>
    </row>
    <row r="28" spans="1:14">
      <c r="A28" s="17">
        <v>44651</v>
      </c>
      <c r="B28" s="17">
        <v>44681</v>
      </c>
      <c r="C28" s="16">
        <v>30</v>
      </c>
      <c r="D28" s="16" t="s">
        <v>42</v>
      </c>
      <c r="E28" s="16">
        <v>4</v>
      </c>
      <c r="F28" s="16">
        <v>3</v>
      </c>
      <c r="G28" s="16">
        <v>8</v>
      </c>
      <c r="H28" s="16">
        <f>Tabla33[[#This Row],[P1 + P4]]*VLOOKUP(MONTH(Tabla33[[#This Row],[Fecha final]]),Tabla20[#All],2,FALSE)</f>
        <v>0</v>
      </c>
      <c r="I28" s="16">
        <f>Tabla33[[#This Row],[P2 + P5]]*VLOOKUP(MONTH(Tabla33[[#This Row],[Fecha final]]),Tabla20[#All],3,FALSE)</f>
        <v>0</v>
      </c>
      <c r="J28" s="16">
        <f>(Tabla33[[#This Row],[P3 + P6]])*VLOOKUP(MONTH(Tabla33[[#This Row],[Fecha final]]),Tabla20[#All],4,FALSE)</f>
        <v>0</v>
      </c>
      <c r="K28" s="16">
        <f>Tabla33[[#This Row],[P1 + P4]]*VLOOKUP(MONTH(Tabla33[[#This Row],[Fecha final]]),Tabla20[#All],5,FALSE)</f>
        <v>4</v>
      </c>
      <c r="L28" s="16">
        <f>Tabla33[[#This Row],[P2 + P5]]*VLOOKUP(MONTH(Tabla33[[#This Row],[Fecha final]]),Tabla20[#All],6,FALSE)</f>
        <v>3</v>
      </c>
      <c r="M28" s="16">
        <f>Tabla33[[#This Row],[P3 + P6]]*VLOOKUP(MONTH(Tabla33[[#This Row],[Fecha final]]),Tabla20[#All],7,FALSE)</f>
        <v>8</v>
      </c>
      <c r="N28" s="16">
        <f>YEAR(Tabla33[[#This Row],[Fecha final]])</f>
        <v>2022</v>
      </c>
    </row>
    <row r="29" spans="1:14">
      <c r="A29" s="17">
        <v>44681</v>
      </c>
      <c r="B29" s="17">
        <v>44697</v>
      </c>
      <c r="C29" s="16">
        <v>16</v>
      </c>
      <c r="D29" s="16" t="s">
        <v>42</v>
      </c>
      <c r="E29" s="16">
        <v>1</v>
      </c>
      <c r="F29" s="16">
        <v>0</v>
      </c>
      <c r="G29" s="16">
        <v>3</v>
      </c>
      <c r="H29" s="16">
        <f>Tabla33[[#This Row],[P1 + P4]]*VLOOKUP(MONTH(Tabla33[[#This Row],[Fecha final]]),Tabla20[#All],2,FALSE)</f>
        <v>0</v>
      </c>
      <c r="I29" s="16">
        <f>Tabla33[[#This Row],[P2 + P5]]*VLOOKUP(MONTH(Tabla33[[#This Row],[Fecha final]]),Tabla20[#All],3,FALSE)</f>
        <v>0</v>
      </c>
      <c r="J29" s="16">
        <f>(Tabla33[[#This Row],[P3 + P6]])*VLOOKUP(MONTH(Tabla33[[#This Row],[Fecha final]]),Tabla20[#All],4,FALSE)</f>
        <v>0</v>
      </c>
      <c r="K29" s="16">
        <f>Tabla33[[#This Row],[P1 + P4]]*VLOOKUP(MONTH(Tabla33[[#This Row],[Fecha final]]),Tabla20[#All],5,FALSE)</f>
        <v>1</v>
      </c>
      <c r="L29" s="16">
        <f>Tabla33[[#This Row],[P2 + P5]]*VLOOKUP(MONTH(Tabla33[[#This Row],[Fecha final]]),Tabla20[#All],6,FALSE)</f>
        <v>0</v>
      </c>
      <c r="M29" s="16">
        <f>Tabla33[[#This Row],[P3 + P6]]*VLOOKUP(MONTH(Tabla33[[#This Row],[Fecha final]]),Tabla20[#All],7,FALSE)</f>
        <v>3</v>
      </c>
      <c r="N29" s="16">
        <f>YEAR(Tabla33[[#This Row],[Fecha final]])</f>
        <v>2022</v>
      </c>
    </row>
    <row r="30" spans="1:14">
      <c r="A30" s="17">
        <v>44697</v>
      </c>
      <c r="B30" s="17">
        <v>44712</v>
      </c>
      <c r="C30" s="16">
        <v>15</v>
      </c>
      <c r="D30" s="16" t="s">
        <v>42</v>
      </c>
      <c r="E30" s="16">
        <v>1</v>
      </c>
      <c r="F30" s="16">
        <v>1</v>
      </c>
      <c r="G30" s="16">
        <v>1</v>
      </c>
      <c r="H30" s="16">
        <f>Tabla33[[#This Row],[P1 + P4]]*VLOOKUP(MONTH(Tabla33[[#This Row],[Fecha final]]),Tabla20[#All],2,FALSE)</f>
        <v>0</v>
      </c>
      <c r="I30" s="16">
        <f>Tabla33[[#This Row],[P2 + P5]]*VLOOKUP(MONTH(Tabla33[[#This Row],[Fecha final]]),Tabla20[#All],3,FALSE)</f>
        <v>0</v>
      </c>
      <c r="J30" s="16">
        <f>(Tabla33[[#This Row],[P3 + P6]])*VLOOKUP(MONTH(Tabla33[[#This Row],[Fecha final]]),Tabla20[#All],4,FALSE)</f>
        <v>0</v>
      </c>
      <c r="K30" s="16">
        <f>Tabla33[[#This Row],[P1 + P4]]*VLOOKUP(MONTH(Tabla33[[#This Row],[Fecha final]]),Tabla20[#All],5,FALSE)</f>
        <v>1</v>
      </c>
      <c r="L30" s="16">
        <f>Tabla33[[#This Row],[P2 + P5]]*VLOOKUP(MONTH(Tabla33[[#This Row],[Fecha final]]),Tabla20[#All],6,FALSE)</f>
        <v>1</v>
      </c>
      <c r="M30" s="16">
        <f>Tabla33[[#This Row],[P3 + P6]]*VLOOKUP(MONTH(Tabla33[[#This Row],[Fecha final]]),Tabla20[#All],7,FALSE)</f>
        <v>1</v>
      </c>
      <c r="N30" s="16">
        <f>YEAR(Tabla33[[#This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42</v>
      </c>
      <c r="E31" s="16">
        <v>1</v>
      </c>
      <c r="F31" s="16">
        <v>0</v>
      </c>
      <c r="G31" s="16">
        <v>6</v>
      </c>
      <c r="H31" s="16">
        <f>Tabla33[[#This Row],[P1 + P4]]*VLOOKUP(MONTH(Tabla33[[#This Row],[Fecha final]]),Tabla20[#All],2,FALSE)</f>
        <v>0</v>
      </c>
      <c r="I31" s="16">
        <f>Tabla33[[#This Row],[P2 + P5]]*VLOOKUP(MONTH(Tabla33[[#This Row],[Fecha final]]),Tabla20[#All],3,FALSE)</f>
        <v>0</v>
      </c>
      <c r="J31" s="16">
        <f>(Tabla33[[#This Row],[P3 + P6]])*VLOOKUP(MONTH(Tabla33[[#This Row],[Fecha final]]),Tabla20[#All],4,FALSE)</f>
        <v>2.0987999999999998</v>
      </c>
      <c r="K31" s="16">
        <f>Tabla33[[#This Row],[P1 + P4]]*VLOOKUP(MONTH(Tabla33[[#This Row],[Fecha final]]),Tabla20[#All],5,FALSE)</f>
        <v>1</v>
      </c>
      <c r="L31" s="16">
        <f>Tabla33[[#This Row],[P2 + P5]]*VLOOKUP(MONTH(Tabla33[[#This Row],[Fecha final]]),Tabla20[#All],6,FALSE)</f>
        <v>0</v>
      </c>
      <c r="M31" s="16">
        <f>Tabla33[[#This Row],[P3 + P6]]*VLOOKUP(MONTH(Tabla33[[#This Row],[Fecha final]]),Tabla20[#All],7,FALSE)</f>
        <v>3.9012000000000002</v>
      </c>
      <c r="N31" s="16">
        <f>YEAR(Tabla33[[#This Row],[Fecha final]])</f>
        <v>2022</v>
      </c>
    </row>
    <row r="32" spans="1:14">
      <c r="A32" s="17">
        <v>44742</v>
      </c>
      <c r="B32" s="17">
        <v>44773</v>
      </c>
      <c r="C32" s="16">
        <v>31</v>
      </c>
      <c r="D32" s="16" t="s">
        <v>42</v>
      </c>
      <c r="E32" s="16">
        <v>3</v>
      </c>
      <c r="F32" s="16">
        <v>2</v>
      </c>
      <c r="G32" s="16">
        <v>4</v>
      </c>
      <c r="H32" s="16">
        <f>Tabla33[[#This Row],[P1 + P4]]*VLOOKUP(MONTH(Tabla33[[#This Row],[Fecha final]]),Tabla20[#All],2,FALSE)</f>
        <v>3</v>
      </c>
      <c r="I32" s="16">
        <f>Tabla33[[#This Row],[P2 + P5]]*VLOOKUP(MONTH(Tabla33[[#This Row],[Fecha final]]),Tabla20[#All],3,FALSE)</f>
        <v>2</v>
      </c>
      <c r="J32" s="16">
        <f>(Tabla33[[#This Row],[P3 + P6]])*VLOOKUP(MONTH(Tabla33[[#This Row],[Fecha final]]),Tabla20[#All],4,FALSE)</f>
        <v>0</v>
      </c>
      <c r="K32" s="16">
        <f>Tabla33[[#This Row],[P1 + P4]]*VLOOKUP(MONTH(Tabla33[[#This Row],[Fecha final]]),Tabla20[#All],5,FALSE)</f>
        <v>0</v>
      </c>
      <c r="L32" s="16">
        <f>Tabla33[[#This Row],[P2 + P5]]*VLOOKUP(MONTH(Tabla33[[#This Row],[Fecha final]]),Tabla20[#All],6,FALSE)</f>
        <v>0</v>
      </c>
      <c r="M32" s="16">
        <f>Tabla33[[#This Row],[P3 + P6]]*VLOOKUP(MONTH(Tabla33[[#This Row],[Fecha final]]),Tabla20[#All],7,FALSE)</f>
        <v>4</v>
      </c>
      <c r="N32" s="16">
        <f>YEAR(Tabla33[[#This Row],[Fecha final]])</f>
        <v>2022</v>
      </c>
    </row>
    <row r="33" spans="1:14">
      <c r="A33" s="17">
        <v>44773</v>
      </c>
      <c r="B33" s="17">
        <v>44804</v>
      </c>
      <c r="C33" s="16">
        <v>31</v>
      </c>
      <c r="D33" s="16" t="s">
        <v>42</v>
      </c>
      <c r="E33" s="16">
        <v>2</v>
      </c>
      <c r="F33" s="16">
        <v>0</v>
      </c>
      <c r="G33" s="16">
        <v>7</v>
      </c>
      <c r="H33" s="16">
        <f>Tabla33[[#This Row],[P1 + P4]]*VLOOKUP(MONTH(Tabla33[[#This Row],[Fecha final]]),Tabla20[#All],2,FALSE)</f>
        <v>0</v>
      </c>
      <c r="I33" s="16">
        <f>Tabla33[[#This Row],[P2 + P5]]*VLOOKUP(MONTH(Tabla33[[#This Row],[Fecha final]]),Tabla20[#All],3,FALSE)</f>
        <v>0</v>
      </c>
      <c r="J33" s="16">
        <f>(Tabla33[[#This Row],[P3 + P6]])*VLOOKUP(MONTH(Tabla33[[#This Row],[Fecha final]]),Tabla20[#All],4,FALSE)</f>
        <v>2.3492000000000002</v>
      </c>
      <c r="K33" s="16">
        <f>Tabla33[[#This Row],[P1 + P4]]*VLOOKUP(MONTH(Tabla33[[#This Row],[Fecha final]]),Tabla20[#All],5,FALSE)</f>
        <v>2</v>
      </c>
      <c r="L33" s="16">
        <f>Tabla33[[#This Row],[P2 + P5]]*VLOOKUP(MONTH(Tabla33[[#This Row],[Fecha final]]),Tabla20[#All],6,FALSE)</f>
        <v>0</v>
      </c>
      <c r="M33" s="16">
        <f>Tabla33[[#This Row],[P3 + P6]]*VLOOKUP(MONTH(Tabla33[[#This Row],[Fecha final]]),Tabla20[#All],7,FALSE)</f>
        <v>4.6508000000000003</v>
      </c>
      <c r="N33" s="16">
        <f>YEAR(Tabla33[[#This Row],[Fecha final]])</f>
        <v>2022</v>
      </c>
    </row>
    <row r="34" spans="1:14">
      <c r="A34" s="17">
        <v>44804</v>
      </c>
      <c r="B34" s="17">
        <v>44834</v>
      </c>
      <c r="C34" s="16">
        <v>30</v>
      </c>
      <c r="D34" s="16" t="s">
        <v>42</v>
      </c>
      <c r="E34" s="16">
        <v>319</v>
      </c>
      <c r="F34" s="16">
        <v>0</v>
      </c>
      <c r="G34" s="16">
        <v>716</v>
      </c>
      <c r="H34" s="16">
        <f>Tabla33[[#This Row],[P1 + P4]]*VLOOKUP(MONTH(Tabla33[[#This Row],[Fecha final]]),Tabla20[#All],2,FALSE)</f>
        <v>0</v>
      </c>
      <c r="I34" s="16">
        <f>Tabla33[[#This Row],[P2 + P5]]*VLOOKUP(MONTH(Tabla33[[#This Row],[Fecha final]]),Tabla20[#All],3,FALSE)</f>
        <v>0</v>
      </c>
      <c r="J34" s="16">
        <f>(Tabla33[[#This Row],[P3 + P6]])*VLOOKUP(MONTH(Tabla33[[#This Row],[Fecha final]]),Tabla20[#All],4,FALSE)</f>
        <v>250.45679999999999</v>
      </c>
      <c r="K34" s="16">
        <f>Tabla33[[#This Row],[P1 + P4]]*VLOOKUP(MONTH(Tabla33[[#This Row],[Fecha final]]),Tabla20[#All],5,FALSE)</f>
        <v>319</v>
      </c>
      <c r="L34" s="16">
        <f>Tabla33[[#This Row],[P2 + P5]]*VLOOKUP(MONTH(Tabla33[[#This Row],[Fecha final]]),Tabla20[#All],6,FALSE)</f>
        <v>0</v>
      </c>
      <c r="M34" s="16">
        <f>Tabla33[[#This Row],[P3 + P6]]*VLOOKUP(MONTH(Tabla33[[#This Row],[Fecha final]]),Tabla20[#All],7,FALSE)</f>
        <v>465.54320000000001</v>
      </c>
      <c r="N34" s="16">
        <f>YEAR(Tabla33[[#This Row],[Fecha final]])</f>
        <v>2022</v>
      </c>
    </row>
    <row r="35" spans="1:14">
      <c r="A35" s="17">
        <v>44834</v>
      </c>
      <c r="B35" s="17">
        <v>44865</v>
      </c>
      <c r="C35" s="16">
        <v>31</v>
      </c>
      <c r="D35" s="16" t="s">
        <v>42</v>
      </c>
      <c r="E35" s="16">
        <v>247</v>
      </c>
      <c r="F35" s="16">
        <v>174</v>
      </c>
      <c r="G35" s="16">
        <v>246</v>
      </c>
      <c r="H35" s="16">
        <f>Tabla33[[#This Row],[P1 + P4]]*VLOOKUP(MONTH(Tabla33[[#This Row],[Fecha final]]),Tabla20[#All],2,FALSE)</f>
        <v>0</v>
      </c>
      <c r="I35" s="16">
        <f>Tabla33[[#This Row],[P2 + P5]]*VLOOKUP(MONTH(Tabla33[[#This Row],[Fecha final]]),Tabla20[#All],3,FALSE)</f>
        <v>0</v>
      </c>
      <c r="J35" s="16">
        <f>(Tabla33[[#This Row],[P3 + P6]])*VLOOKUP(MONTH(Tabla33[[#This Row],[Fecha final]]),Tabla20[#All],4,FALSE)</f>
        <v>0</v>
      </c>
      <c r="K35" s="16">
        <f>Tabla33[[#This Row],[P1 + P4]]*VLOOKUP(MONTH(Tabla33[[#This Row],[Fecha final]]),Tabla20[#All],5,FALSE)</f>
        <v>247</v>
      </c>
      <c r="L35" s="16">
        <f>Tabla33[[#This Row],[P2 + P5]]*VLOOKUP(MONTH(Tabla33[[#This Row],[Fecha final]]),Tabla20[#All],6,FALSE)</f>
        <v>174</v>
      </c>
      <c r="M35" s="16">
        <f>Tabla33[[#This Row],[P3 + P6]]*VLOOKUP(MONTH(Tabla33[[#This Row],[Fecha final]]),Tabla20[#All],7,FALSE)</f>
        <v>246</v>
      </c>
      <c r="N35" s="16">
        <f>YEAR(Tabla33[[#This Row],[Fecha final]])</f>
        <v>2022</v>
      </c>
    </row>
    <row r="36" spans="1:14">
      <c r="A36" s="17">
        <v>44865</v>
      </c>
      <c r="B36" s="17">
        <v>44885</v>
      </c>
      <c r="C36" s="16">
        <v>20</v>
      </c>
      <c r="D36" s="16" t="s">
        <v>42</v>
      </c>
      <c r="E36" s="16">
        <v>0</v>
      </c>
      <c r="F36" s="16">
        <v>356</v>
      </c>
      <c r="G36" s="16">
        <v>428</v>
      </c>
      <c r="H36" s="16">
        <f>Tabla33[[#This Row],[P1 + P4]]*VLOOKUP(MONTH(Tabla33[[#This Row],[Fecha final]]),Tabla20[#All],2,FALSE)</f>
        <v>0</v>
      </c>
      <c r="I36" s="16">
        <f>Tabla33[[#This Row],[P2 + P5]]*VLOOKUP(MONTH(Tabla33[[#This Row],[Fecha final]]),Tabla20[#All],3,FALSE)</f>
        <v>356</v>
      </c>
      <c r="J36" s="16">
        <f>(Tabla33[[#This Row],[P3 + P6]])*VLOOKUP(MONTH(Tabla33[[#This Row],[Fecha final]]),Tabla20[#All],4,FALSE)</f>
        <v>118.4704</v>
      </c>
      <c r="K36" s="16">
        <f>Tabla33[[#This Row],[P1 + P4]]*VLOOKUP(MONTH(Tabla33[[#This Row],[Fecha final]]),Tabla20[#All],5,FALSE)</f>
        <v>0</v>
      </c>
      <c r="L36" s="16">
        <f>Tabla33[[#This Row],[P2 + P5]]*VLOOKUP(MONTH(Tabla33[[#This Row],[Fecha final]]),Tabla20[#All],6,FALSE)</f>
        <v>0</v>
      </c>
      <c r="M36" s="16">
        <f>Tabla33[[#This Row],[P3 + P6]]*VLOOKUP(MONTH(Tabla33[[#This Row],[Fecha final]]),Tabla20[#All],7,FALSE)</f>
        <v>309.52959999999996</v>
      </c>
      <c r="N36" s="16">
        <f>YEAR(Tabla33[[#This Row],[Fecha final]])</f>
        <v>2022</v>
      </c>
    </row>
    <row r="37" spans="1:14">
      <c r="A37" s="17">
        <v>44885</v>
      </c>
      <c r="B37" s="17">
        <v>44916</v>
      </c>
      <c r="C37" s="16">
        <v>31</v>
      </c>
      <c r="D37" s="16" t="s">
        <v>42</v>
      </c>
      <c r="E37" s="16">
        <v>-552</v>
      </c>
      <c r="F37" s="16">
        <v>-530</v>
      </c>
      <c r="G37" s="16">
        <v>-1385</v>
      </c>
      <c r="H37" s="16">
        <f>Tabla33[[#This Row],[P1 + P4]]*VLOOKUP(MONTH(Tabla33[[#This Row],[Fecha final]]),Tabla20[#All],2,FALSE)</f>
        <v>-552</v>
      </c>
      <c r="I37" s="16">
        <f>Tabla33[[#This Row],[P2 + P5]]*VLOOKUP(MONTH(Tabla33[[#This Row],[Fecha final]]),Tabla20[#All],3,FALSE)</f>
        <v>-530</v>
      </c>
      <c r="J37" s="16">
        <f>(Tabla33[[#This Row],[P3 + P6]])*VLOOKUP(MONTH(Tabla33[[#This Row],[Fecha final]]),Tabla20[#All],4,FALSE)</f>
        <v>0</v>
      </c>
      <c r="K37" s="16">
        <f>Tabla33[[#This Row],[P1 + P4]]*VLOOKUP(MONTH(Tabla33[[#This Row],[Fecha final]]),Tabla20[#All],5,FALSE)</f>
        <v>0</v>
      </c>
      <c r="L37" s="16">
        <f>Tabla33[[#This Row],[P2 + P5]]*VLOOKUP(MONTH(Tabla33[[#This Row],[Fecha final]]),Tabla20[#All],6,FALSE)</f>
        <v>0</v>
      </c>
      <c r="M37" s="16">
        <f>Tabla33[[#This Row],[P3 + P6]]*VLOOKUP(MONTH(Tabla33[[#This Row],[Fecha final]]),Tabla20[#All],7,FALSE)</f>
        <v>-1385</v>
      </c>
      <c r="N37" s="16">
        <f>YEAR(Tabla33[[#This Row],[Fecha final]])</f>
        <v>2022</v>
      </c>
    </row>
    <row r="38" spans="1:14">
      <c r="A38" s="17">
        <v>44916</v>
      </c>
      <c r="B38" s="17">
        <v>44926</v>
      </c>
      <c r="C38" s="16">
        <v>10</v>
      </c>
      <c r="D38" s="16" t="s">
        <v>42</v>
      </c>
      <c r="E38" s="16">
        <v>0</v>
      </c>
      <c r="F38" s="16">
        <v>0</v>
      </c>
      <c r="G38" s="16">
        <v>1</v>
      </c>
      <c r="H38" s="16">
        <f>Tabla33[[#This Row],[P1 + P4]]*VLOOKUP(MONTH(Tabla33[[#This Row],[Fecha final]]),Tabla20[#All],2,FALSE)</f>
        <v>0</v>
      </c>
      <c r="I38" s="16">
        <f>Tabla33[[#This Row],[P2 + P5]]*VLOOKUP(MONTH(Tabla33[[#This Row],[Fecha final]]),Tabla20[#All],3,FALSE)</f>
        <v>0</v>
      </c>
      <c r="J38" s="16">
        <f>(Tabla33[[#This Row],[P3 + P6]])*VLOOKUP(MONTH(Tabla33[[#This Row],[Fecha final]]),Tabla20[#All],4,FALSE)</f>
        <v>0</v>
      </c>
      <c r="K38" s="16">
        <f>Tabla33[[#This Row],[P1 + P4]]*VLOOKUP(MONTH(Tabla33[[#This Row],[Fecha final]]),Tabla20[#All],5,FALSE)</f>
        <v>0</v>
      </c>
      <c r="L38" s="16">
        <f>Tabla33[[#This Row],[P2 + P5]]*VLOOKUP(MONTH(Tabla33[[#This Row],[Fecha final]]),Tabla20[#All],6,FALSE)</f>
        <v>0</v>
      </c>
      <c r="M38" s="16">
        <f>Tabla33[[#This Row],[P3 + P6]]*VLOOKUP(MONTH(Tabla33[[#This Row],[Fecha final]]),Tabla20[#All],7,FALSE)</f>
        <v>1</v>
      </c>
      <c r="N38" s="16">
        <f>YEAR(Tabla33[[#This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5</v>
      </c>
      <c r="F39" s="16">
        <v>4</v>
      </c>
      <c r="G39" s="16">
        <v>8</v>
      </c>
      <c r="H39" s="16">
        <f>Tabla33[[#This Row],[P1 + P4]]*VLOOKUP(MONTH(Tabla33[[#This Row],[Fecha final]]),Tabla20[#All],2,FALSE)</f>
        <v>5</v>
      </c>
      <c r="I39" s="16">
        <f>Tabla33[[#This Row],[P2 + P5]]*VLOOKUP(MONTH(Tabla33[[#This Row],[Fecha final]]),Tabla20[#All],3,FALSE)</f>
        <v>4</v>
      </c>
      <c r="J39" s="16">
        <f>(Tabla33[[#This Row],[P3 + P6]])*VLOOKUP(MONTH(Tabla33[[#This Row],[Fecha final]]),Tabla20[#All],4,FALSE)</f>
        <v>0</v>
      </c>
      <c r="K39" s="16">
        <f>Tabla33[[#This Row],[P1 + P4]]*VLOOKUP(MONTH(Tabla33[[#This Row],[Fecha final]]),Tabla20[#All],5,FALSE)</f>
        <v>0</v>
      </c>
      <c r="L39" s="16">
        <f>Tabla33[[#This Row],[P2 + P5]]*VLOOKUP(MONTH(Tabla33[[#This Row],[Fecha final]]),Tabla20[#All],6,FALSE)</f>
        <v>0</v>
      </c>
      <c r="M39" s="16">
        <f>Tabla33[[#This Row],[P3 + P6]]*VLOOKUP(MONTH(Tabla33[[#This Row],[Fecha final]]),Tabla20[#All],7,FALSE)</f>
        <v>8</v>
      </c>
      <c r="N39" s="16">
        <f>YEAR(Tabla33[[#This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8</v>
      </c>
      <c r="F40" s="16">
        <v>7</v>
      </c>
      <c r="G40" s="16">
        <v>17</v>
      </c>
      <c r="H40" s="16">
        <f>Tabla33[[#This Row],[P1 + P4]]*VLOOKUP(MONTH(Tabla33[[#This Row],[Fecha final]]),Tabla20[#All],2,FALSE)</f>
        <v>8</v>
      </c>
      <c r="I40" s="16">
        <f>Tabla33[[#This Row],[P2 + P5]]*VLOOKUP(MONTH(Tabla33[[#This Row],[Fecha final]]),Tabla20[#All],3,FALSE)</f>
        <v>7</v>
      </c>
      <c r="J40" s="16">
        <f>(Tabla33[[#This Row],[P3 + P6]])*VLOOKUP(MONTH(Tabla33[[#This Row],[Fecha final]]),Tabla20[#All],4,FALSE)</f>
        <v>0</v>
      </c>
      <c r="K40" s="16">
        <f>Tabla33[[#This Row],[P1 + P4]]*VLOOKUP(MONTH(Tabla33[[#This Row],[Fecha final]]),Tabla20[#All],5,FALSE)</f>
        <v>0</v>
      </c>
      <c r="L40" s="16">
        <f>Tabla33[[#This Row],[P2 + P5]]*VLOOKUP(MONTH(Tabla33[[#This Row],[Fecha final]]),Tabla20[#All],6,FALSE)</f>
        <v>0</v>
      </c>
      <c r="M40" s="16">
        <f>Tabla33[[#This Row],[P3 + P6]]*VLOOKUP(MONTH(Tabla33[[#This Row],[Fecha final]]),Tabla20[#All],7,FALSE)</f>
        <v>17</v>
      </c>
      <c r="N40" s="16">
        <f>YEAR(Tabla33[[#This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10</v>
      </c>
      <c r="G41" s="16">
        <v>26</v>
      </c>
      <c r="H41" s="16">
        <f>Tabla33[[#This Row],[P1 + P4]]*VLOOKUP(MONTH(Tabla33[[#This Row],[Fecha final]]),Tabla20[#All],2,FALSE)</f>
        <v>0</v>
      </c>
      <c r="I41" s="16">
        <f>Tabla33[[#This Row],[P2 + P5]]*VLOOKUP(MONTH(Tabla33[[#This Row],[Fecha final]]),Tabla20[#All],3,FALSE)</f>
        <v>10</v>
      </c>
      <c r="J41" s="16">
        <f>(Tabla33[[#This Row],[P3 + P6]])*VLOOKUP(MONTH(Tabla33[[#This Row],[Fecha final]]),Tabla20[#All],4,FALSE)</f>
        <v>7.7948000000000004</v>
      </c>
      <c r="K41" s="16">
        <f>Tabla33[[#This Row],[P1 + P4]]*VLOOKUP(MONTH(Tabla33[[#This Row],[Fecha final]]),Tabla20[#All],5,FALSE)</f>
        <v>0</v>
      </c>
      <c r="L41" s="16">
        <f>Tabla33[[#This Row],[P2 + P5]]*VLOOKUP(MONTH(Tabla33[[#This Row],[Fecha final]]),Tabla20[#All],6,FALSE)</f>
        <v>0</v>
      </c>
      <c r="M41" s="16">
        <f>Tabla33[[#This Row],[P3 + P6]]*VLOOKUP(MONTH(Tabla33[[#This Row],[Fecha final]]),Tabla20[#All],7,FALSE)</f>
        <v>18.205200000000001</v>
      </c>
      <c r="N41" s="16">
        <f>YEAR(Tabla33[[#This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2</v>
      </c>
      <c r="G47" s="16">
        <v>1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1</v>
      </c>
      <c r="F48" s="16">
        <v>1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2</v>
      </c>
      <c r="F49" s="16">
        <v>2</v>
      </c>
      <c r="G49" s="16">
        <v>0</v>
      </c>
    </row>
    <row r="50" spans="1:7">
      <c r="A50" s="16" t="s">
        <v>437</v>
      </c>
      <c r="B50" s="16" t="s">
        <v>73</v>
      </c>
      <c r="C50" s="16">
        <v>10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438</v>
      </c>
      <c r="B51" s="16" t="s">
        <v>437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71</v>
      </c>
      <c r="B52" s="16" t="s">
        <v>438</v>
      </c>
      <c r="C52" s="16">
        <v>20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70</v>
      </c>
      <c r="B53" s="16" t="s">
        <v>71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69</v>
      </c>
      <c r="B54" s="16" t="s">
        <v>70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68</v>
      </c>
      <c r="B55" s="16" t="s">
        <v>69</v>
      </c>
      <c r="C55" s="16">
        <v>31</v>
      </c>
      <c r="D55" s="16" t="s">
        <v>42</v>
      </c>
      <c r="E55" s="16">
        <v>1</v>
      </c>
      <c r="F55" s="16">
        <v>0</v>
      </c>
      <c r="G55" s="16">
        <v>1</v>
      </c>
    </row>
    <row r="56" spans="1:7">
      <c r="A56" s="16" t="s">
        <v>67</v>
      </c>
      <c r="B56" s="16" t="s">
        <v>68</v>
      </c>
      <c r="C56" s="16">
        <v>31</v>
      </c>
      <c r="D56" s="16" t="s">
        <v>42</v>
      </c>
      <c r="E56" s="16">
        <v>2</v>
      </c>
      <c r="F56" s="16">
        <v>1</v>
      </c>
      <c r="G56" s="16">
        <v>0</v>
      </c>
    </row>
    <row r="57" spans="1:7">
      <c r="A57" s="16" t="s">
        <v>66</v>
      </c>
      <c r="B57" s="16" t="s">
        <v>67</v>
      </c>
      <c r="C57" s="16">
        <v>30</v>
      </c>
      <c r="D57" s="16" t="s">
        <v>42</v>
      </c>
      <c r="E57" s="16">
        <v>2</v>
      </c>
      <c r="F57" s="16">
        <v>0</v>
      </c>
      <c r="G57" s="16">
        <v>2</v>
      </c>
    </row>
    <row r="58" spans="1:7">
      <c r="A58" s="16" t="s">
        <v>439</v>
      </c>
      <c r="B58" s="16" t="s">
        <v>66</v>
      </c>
      <c r="C58" s="16">
        <v>15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65</v>
      </c>
      <c r="B59" s="16" t="s">
        <v>439</v>
      </c>
      <c r="C59" s="16">
        <v>16</v>
      </c>
      <c r="D59" s="16" t="s">
        <v>42</v>
      </c>
      <c r="E59" s="16">
        <v>1</v>
      </c>
      <c r="F59" s="16">
        <v>1</v>
      </c>
      <c r="G59" s="16">
        <v>0</v>
      </c>
    </row>
    <row r="60" spans="1:7">
      <c r="A60" s="16" t="s">
        <v>63</v>
      </c>
      <c r="B60" s="16" t="s">
        <v>65</v>
      </c>
      <c r="C60" s="16">
        <v>30</v>
      </c>
      <c r="D60" s="16" t="s">
        <v>42</v>
      </c>
      <c r="E60" s="16">
        <v>2</v>
      </c>
      <c r="F60" s="16">
        <v>1</v>
      </c>
      <c r="G60" s="16">
        <v>0</v>
      </c>
    </row>
    <row r="61" spans="1:7">
      <c r="A61" s="16" t="s">
        <v>62</v>
      </c>
      <c r="B61" s="16" t="s">
        <v>63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61</v>
      </c>
      <c r="B62" s="16" t="s">
        <v>62</v>
      </c>
      <c r="C62" s="16">
        <v>28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60</v>
      </c>
      <c r="B63" s="16" t="s">
        <v>61</v>
      </c>
      <c r="C63" s="16">
        <v>31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59</v>
      </c>
      <c r="B64" s="16" t="s">
        <v>60</v>
      </c>
      <c r="C64" s="16">
        <v>29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58</v>
      </c>
      <c r="B65" s="16" t="s">
        <v>59</v>
      </c>
      <c r="C65" s="16">
        <v>2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57</v>
      </c>
      <c r="B66" s="16" t="s">
        <v>58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55</v>
      </c>
      <c r="B67" s="16" t="s">
        <v>57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440</v>
      </c>
      <c r="B68" s="16" t="s">
        <v>55</v>
      </c>
      <c r="C68" s="16">
        <v>11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119</v>
      </c>
      <c r="B69" s="16" t="s">
        <v>440</v>
      </c>
      <c r="C69" s="16">
        <v>27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441</v>
      </c>
      <c r="B70" s="16" t="s">
        <v>119</v>
      </c>
      <c r="C70" s="16">
        <v>6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442</v>
      </c>
      <c r="B71" s="16" t="s">
        <v>441</v>
      </c>
      <c r="C71" s="16">
        <v>28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51</v>
      </c>
      <c r="B72" s="16" t="s">
        <v>442</v>
      </c>
      <c r="C72" s="16">
        <v>50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443</v>
      </c>
      <c r="B73" s="16" t="s">
        <v>51</v>
      </c>
      <c r="C73" s="16">
        <v>10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444</v>
      </c>
      <c r="B74" s="16" t="s">
        <v>443</v>
      </c>
      <c r="C74" s="16">
        <v>3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48</v>
      </c>
      <c r="B75" s="16" t="s">
        <v>444</v>
      </c>
      <c r="C75" s="16">
        <v>48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445</v>
      </c>
      <c r="B76" s="16" t="s">
        <v>48</v>
      </c>
      <c r="C76" s="16">
        <v>14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446</v>
      </c>
      <c r="B77" s="16" t="s">
        <v>445</v>
      </c>
      <c r="C77" s="16">
        <v>29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447</v>
      </c>
      <c r="B78" s="16" t="s">
        <v>446</v>
      </c>
      <c r="C78" s="16">
        <v>25</v>
      </c>
      <c r="D78" s="16" t="s">
        <v>42</v>
      </c>
      <c r="E78" s="16">
        <v>1</v>
      </c>
      <c r="F78" s="16">
        <v>53</v>
      </c>
      <c r="G78" s="16">
        <v>9</v>
      </c>
    </row>
    <row r="79" spans="1:7">
      <c r="A79" s="16" t="s">
        <v>448</v>
      </c>
      <c r="B79" s="16" t="s">
        <v>447</v>
      </c>
      <c r="C79" s="16">
        <v>31</v>
      </c>
      <c r="D79" s="16" t="s">
        <v>42</v>
      </c>
      <c r="E79" s="16">
        <v>3</v>
      </c>
      <c r="F79" s="16">
        <v>72</v>
      </c>
      <c r="G79" s="16">
        <v>19</v>
      </c>
    </row>
    <row r="80" spans="1:7">
      <c r="A80" s="16" t="s">
        <v>449</v>
      </c>
      <c r="B80" s="16" t="s">
        <v>448</v>
      </c>
      <c r="C80" s="16">
        <v>33</v>
      </c>
      <c r="D80" s="16" t="s">
        <v>42</v>
      </c>
      <c r="E80" s="16">
        <v>5</v>
      </c>
      <c r="F80" s="16">
        <v>63</v>
      </c>
      <c r="G80" s="16">
        <v>22</v>
      </c>
    </row>
    <row r="81" spans="1:7">
      <c r="A81" s="16" t="s">
        <v>450</v>
      </c>
      <c r="B81" s="16" t="s">
        <v>449</v>
      </c>
      <c r="C81" s="16">
        <v>30</v>
      </c>
      <c r="D81" s="16" t="s">
        <v>42</v>
      </c>
      <c r="E81" s="16">
        <v>3</v>
      </c>
      <c r="F81" s="16">
        <v>34</v>
      </c>
      <c r="G81" s="16">
        <v>7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25</v>
      </c>
      <c r="C87" s="16">
        <v>25</v>
      </c>
      <c r="D87" s="16">
        <v>25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437</v>
      </c>
      <c r="B92" s="16" t="s">
        <v>73</v>
      </c>
      <c r="C92" s="16">
        <v>10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438</v>
      </c>
      <c r="B93" s="16" t="s">
        <v>437</v>
      </c>
      <c r="C93" s="16">
        <v>31</v>
      </c>
      <c r="D93" s="16" t="s">
        <v>42</v>
      </c>
      <c r="E93" s="16">
        <v>0</v>
      </c>
      <c r="F93" s="16">
        <v>0</v>
      </c>
      <c r="G93" s="16">
        <v>2E-3</v>
      </c>
    </row>
    <row r="94" spans="1:7">
      <c r="A94" s="16" t="s">
        <v>71</v>
      </c>
      <c r="B94" s="16" t="s">
        <v>438</v>
      </c>
      <c r="C94" s="16">
        <v>20</v>
      </c>
      <c r="D94" s="16" t="s">
        <v>42</v>
      </c>
      <c r="E94" s="16">
        <v>0</v>
      </c>
      <c r="F94" s="16">
        <v>3.0430000000000001</v>
      </c>
      <c r="G94" s="16">
        <v>2.952</v>
      </c>
    </row>
    <row r="95" spans="1:7">
      <c r="A95" s="16" t="s">
        <v>70</v>
      </c>
      <c r="B95" s="16" t="s">
        <v>71</v>
      </c>
      <c r="C95" s="16">
        <v>31</v>
      </c>
      <c r="D95" s="16" t="s">
        <v>42</v>
      </c>
      <c r="E95" s="16">
        <v>1.3720000000000001</v>
      </c>
      <c r="F95" s="16">
        <v>1.2430000000000001</v>
      </c>
      <c r="G95" s="16">
        <v>0.57899999999999996</v>
      </c>
    </row>
    <row r="96" spans="1:7">
      <c r="A96" s="16" t="s">
        <v>69</v>
      </c>
      <c r="B96" s="16" t="s">
        <v>70</v>
      </c>
      <c r="C96" s="16">
        <v>30</v>
      </c>
      <c r="D96" s="16" t="s">
        <v>42</v>
      </c>
      <c r="E96" s="16">
        <v>1</v>
      </c>
      <c r="F96" s="16">
        <v>0</v>
      </c>
      <c r="G96" s="16">
        <v>1</v>
      </c>
    </row>
    <row r="97" spans="1:7">
      <c r="A97" s="16" t="s">
        <v>68</v>
      </c>
      <c r="B97" s="16" t="s">
        <v>69</v>
      </c>
      <c r="C97" s="16">
        <v>31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67</v>
      </c>
      <c r="B98" s="16" t="s">
        <v>68</v>
      </c>
      <c r="C98" s="16">
        <v>31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66</v>
      </c>
      <c r="B99" s="16" t="s">
        <v>67</v>
      </c>
      <c r="C99" s="16">
        <v>30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439</v>
      </c>
      <c r="B100" s="16" t="s">
        <v>66</v>
      </c>
      <c r="C100" s="16">
        <v>15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65</v>
      </c>
      <c r="B101" s="16" t="s">
        <v>439</v>
      </c>
      <c r="C101" s="16">
        <v>16</v>
      </c>
      <c r="D101" s="16" t="s">
        <v>42</v>
      </c>
      <c r="E101" s="16">
        <v>21.25</v>
      </c>
      <c r="F101" s="16">
        <v>0</v>
      </c>
      <c r="G101" s="16">
        <v>21.25</v>
      </c>
    </row>
    <row r="102" spans="1:7">
      <c r="A102" s="16" t="s">
        <v>63</v>
      </c>
      <c r="B102" s="16" t="s">
        <v>65</v>
      </c>
      <c r="C102" s="16">
        <v>30</v>
      </c>
      <c r="D102" s="16" t="s">
        <v>42</v>
      </c>
      <c r="E102" s="16">
        <v>0</v>
      </c>
      <c r="F102" s="16">
        <v>0</v>
      </c>
      <c r="G102" s="16">
        <v>0</v>
      </c>
    </row>
    <row r="103" spans="1:7">
      <c r="A103" s="16" t="s">
        <v>62</v>
      </c>
      <c r="B103" s="16" t="s">
        <v>63</v>
      </c>
      <c r="C103" s="16">
        <v>31</v>
      </c>
      <c r="D103" s="16" t="s">
        <v>42</v>
      </c>
      <c r="E103" s="16">
        <v>0</v>
      </c>
      <c r="F103" s="16">
        <v>6</v>
      </c>
      <c r="G103" s="16">
        <v>5</v>
      </c>
    </row>
    <row r="104" spans="1:7">
      <c r="A104" s="16" t="s">
        <v>61</v>
      </c>
      <c r="B104" s="16" t="s">
        <v>62</v>
      </c>
      <c r="C104" s="16">
        <v>28</v>
      </c>
      <c r="D104" s="16" t="s">
        <v>42</v>
      </c>
      <c r="E104" s="16">
        <v>9</v>
      </c>
      <c r="F104" s="16">
        <v>12</v>
      </c>
      <c r="G104" s="16">
        <v>7</v>
      </c>
    </row>
    <row r="105" spans="1:7">
      <c r="A105" s="16" t="s">
        <v>60</v>
      </c>
      <c r="B105" s="16" t="s">
        <v>61</v>
      </c>
      <c r="C105" s="16">
        <v>31</v>
      </c>
      <c r="D105" s="16" t="s">
        <v>42</v>
      </c>
      <c r="E105" s="16">
        <v>10</v>
      </c>
      <c r="F105" s="16">
        <v>13</v>
      </c>
      <c r="G105" s="16">
        <v>4</v>
      </c>
    </row>
    <row r="106" spans="1:7">
      <c r="A106" s="16" t="s">
        <v>59</v>
      </c>
      <c r="B106" s="16" t="s">
        <v>60</v>
      </c>
      <c r="C106" s="16">
        <v>29</v>
      </c>
      <c r="D106" s="16" t="s">
        <v>42</v>
      </c>
      <c r="E106" s="16">
        <v>10</v>
      </c>
      <c r="F106" s="16">
        <v>12</v>
      </c>
      <c r="G106" s="16">
        <v>6</v>
      </c>
    </row>
    <row r="107" spans="1:7">
      <c r="A107" s="16" t="s">
        <v>58</v>
      </c>
      <c r="B107" s="16" t="s">
        <v>59</v>
      </c>
      <c r="C107" s="16">
        <v>2</v>
      </c>
      <c r="D107" s="16" t="s">
        <v>42</v>
      </c>
      <c r="E107" s="16">
        <v>21.25</v>
      </c>
      <c r="F107" s="16">
        <v>21.25</v>
      </c>
      <c r="G107" s="16">
        <v>21.25</v>
      </c>
    </row>
    <row r="108" spans="1:7">
      <c r="A108" s="16" t="s">
        <v>57</v>
      </c>
      <c r="B108" s="16" t="s">
        <v>58</v>
      </c>
      <c r="C108" s="16">
        <v>30</v>
      </c>
      <c r="D108" s="16" t="s">
        <v>42</v>
      </c>
      <c r="E108" s="16">
        <v>0</v>
      </c>
      <c r="F108" s="16">
        <v>7</v>
      </c>
      <c r="G108" s="16">
        <v>10</v>
      </c>
    </row>
    <row r="109" spans="1:7">
      <c r="A109" s="16" t="s">
        <v>55</v>
      </c>
      <c r="B109" s="16" t="s">
        <v>57</v>
      </c>
      <c r="C109" s="16">
        <v>31</v>
      </c>
      <c r="D109" s="16" t="s">
        <v>42</v>
      </c>
      <c r="E109" s="16">
        <v>4</v>
      </c>
      <c r="F109" s="16">
        <v>6</v>
      </c>
      <c r="G109" s="16">
        <v>2</v>
      </c>
    </row>
    <row r="110" spans="1:7">
      <c r="A110" s="16" t="s">
        <v>440</v>
      </c>
      <c r="B110" s="16" t="s">
        <v>55</v>
      </c>
      <c r="C110" s="16">
        <v>11</v>
      </c>
      <c r="D110" s="16" t="s">
        <v>42</v>
      </c>
      <c r="E110" s="16">
        <v>21.25</v>
      </c>
      <c r="F110" s="16">
        <v>0</v>
      </c>
      <c r="G110" s="16">
        <v>21.25</v>
      </c>
    </row>
    <row r="111" spans="1:7">
      <c r="A111" s="16" t="s">
        <v>119</v>
      </c>
      <c r="B111" s="16" t="s">
        <v>440</v>
      </c>
      <c r="C111" s="16">
        <v>27</v>
      </c>
      <c r="D111" s="16" t="s">
        <v>42</v>
      </c>
      <c r="E111" s="16">
        <v>21.25</v>
      </c>
      <c r="F111" s="16">
        <v>0</v>
      </c>
      <c r="G111" s="16">
        <v>21.25</v>
      </c>
    </row>
    <row r="112" spans="1:7">
      <c r="A112" s="16" t="s">
        <v>441</v>
      </c>
      <c r="B112" s="16" t="s">
        <v>119</v>
      </c>
      <c r="C112" s="16">
        <v>6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442</v>
      </c>
      <c r="B113" s="16" t="s">
        <v>441</v>
      </c>
      <c r="C113" s="16">
        <v>28</v>
      </c>
      <c r="D113" s="16" t="s">
        <v>42</v>
      </c>
      <c r="E113" s="16">
        <v>8</v>
      </c>
      <c r="F113" s="16">
        <v>8</v>
      </c>
      <c r="G113" s="16">
        <v>6</v>
      </c>
    </row>
    <row r="114" spans="1:7">
      <c r="A114" s="16" t="s">
        <v>51</v>
      </c>
      <c r="B114" s="16" t="s">
        <v>442</v>
      </c>
      <c r="C114" s="16">
        <v>50</v>
      </c>
      <c r="D114" s="16" t="s">
        <v>42</v>
      </c>
      <c r="E114" s="16">
        <v>7</v>
      </c>
      <c r="F114" s="16">
        <v>8</v>
      </c>
      <c r="G114" s="16">
        <v>7</v>
      </c>
    </row>
    <row r="115" spans="1:7">
      <c r="A115" s="16" t="s">
        <v>443</v>
      </c>
      <c r="B115" s="16" t="s">
        <v>51</v>
      </c>
      <c r="C115" s="16">
        <v>10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444</v>
      </c>
      <c r="B116" s="16" t="s">
        <v>443</v>
      </c>
      <c r="C116" s="16">
        <v>3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48</v>
      </c>
      <c r="B117" s="16" t="s">
        <v>444</v>
      </c>
      <c r="C117" s="16">
        <v>48</v>
      </c>
      <c r="D117" s="16" t="s">
        <v>42</v>
      </c>
      <c r="E117" s="16">
        <v>21.25</v>
      </c>
      <c r="F117" s="16">
        <v>21.25</v>
      </c>
      <c r="G117" s="16">
        <v>21.25</v>
      </c>
    </row>
    <row r="118" spans="1:7">
      <c r="A118" s="16" t="s">
        <v>445</v>
      </c>
      <c r="B118" s="16" t="s">
        <v>48</v>
      </c>
      <c r="C118" s="16">
        <v>14</v>
      </c>
      <c r="D118" s="16" t="s">
        <v>42</v>
      </c>
      <c r="E118" s="16">
        <v>21.25</v>
      </c>
      <c r="F118" s="16">
        <v>21.25</v>
      </c>
      <c r="G118" s="16">
        <v>21.25</v>
      </c>
    </row>
    <row r="119" spans="1:7">
      <c r="A119" s="16" t="s">
        <v>446</v>
      </c>
      <c r="B119" s="16" t="s">
        <v>445</v>
      </c>
      <c r="C119" s="16">
        <v>29</v>
      </c>
      <c r="D119" s="16" t="s">
        <v>42</v>
      </c>
      <c r="E119" s="16">
        <v>21</v>
      </c>
      <c r="F119" s="16">
        <v>21</v>
      </c>
      <c r="G119" s="16">
        <v>21</v>
      </c>
    </row>
    <row r="120" spans="1:7">
      <c r="A120" s="16" t="s">
        <v>447</v>
      </c>
      <c r="B120" s="16" t="s">
        <v>446</v>
      </c>
      <c r="C120" s="16">
        <v>25</v>
      </c>
      <c r="D120" s="16" t="s">
        <v>42</v>
      </c>
      <c r="E120" s="16">
        <v>5</v>
      </c>
      <c r="F120" s="16">
        <v>10</v>
      </c>
      <c r="G120" s="16">
        <v>4</v>
      </c>
    </row>
    <row r="121" spans="1:7">
      <c r="A121" s="16" t="s">
        <v>448</v>
      </c>
      <c r="B121" s="16" t="s">
        <v>447</v>
      </c>
      <c r="C121" s="16">
        <v>31</v>
      </c>
      <c r="D121" s="16" t="s">
        <v>42</v>
      </c>
      <c r="E121" s="16">
        <v>5</v>
      </c>
      <c r="F121" s="16">
        <v>14</v>
      </c>
      <c r="G121" s="16">
        <v>7</v>
      </c>
    </row>
    <row r="122" spans="1:7">
      <c r="A122" s="16" t="s">
        <v>449</v>
      </c>
      <c r="B122" s="16" t="s">
        <v>448</v>
      </c>
      <c r="C122" s="16">
        <v>33</v>
      </c>
      <c r="D122" s="16" t="s">
        <v>42</v>
      </c>
      <c r="E122" s="16">
        <v>4</v>
      </c>
      <c r="F122" s="16">
        <v>12</v>
      </c>
      <c r="G122" s="16">
        <v>6</v>
      </c>
    </row>
    <row r="123" spans="1:7">
      <c r="A123" s="16" t="s">
        <v>450</v>
      </c>
      <c r="B123" s="16" t="s">
        <v>449</v>
      </c>
      <c r="C123" s="16">
        <v>30</v>
      </c>
      <c r="D123" s="16" t="s">
        <v>42</v>
      </c>
      <c r="E123" s="16">
        <v>3</v>
      </c>
      <c r="F123" s="16">
        <v>4</v>
      </c>
      <c r="G123" s="16">
        <v>2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42633-5696-4DA4-9FB9-D074713207FA}">
  <dimension ref="A1:N123"/>
  <sheetViews>
    <sheetView topLeftCell="A16" workbookViewId="0">
      <selection activeCell="E26" sqref="E26:E38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451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3073</v>
      </c>
      <c r="C4" s="16">
        <v>2320</v>
      </c>
      <c r="D4" s="16">
        <v>1913</v>
      </c>
    </row>
    <row r="5" spans="1:14">
      <c r="A5" s="16" t="s">
        <v>36</v>
      </c>
      <c r="B5" s="16">
        <v>42</v>
      </c>
      <c r="C5" s="16">
        <v>32</v>
      </c>
      <c r="D5" s="16">
        <v>26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44035</v>
      </c>
      <c r="B7" s="17">
        <v>44067</v>
      </c>
      <c r="C7" s="16">
        <v>32</v>
      </c>
      <c r="D7" s="16" t="s">
        <v>42</v>
      </c>
      <c r="E7" s="16">
        <v>420</v>
      </c>
      <c r="F7" s="16">
        <v>0</v>
      </c>
      <c r="G7" s="16">
        <v>0</v>
      </c>
      <c r="H7" s="16">
        <f>SUM(Tabla34[[#This Row],[P1 + P4]:[P2 + P5]])</f>
        <v>420</v>
      </c>
      <c r="I7" s="16">
        <f>Tabla34[[#This Row],[P3 + P6]]</f>
        <v>0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YEAR(Tabla34[[#This Row],[Fecha final]])</f>
        <v>2020</v>
      </c>
    </row>
    <row r="8" spans="1:14">
      <c r="A8" s="17">
        <v>44067</v>
      </c>
      <c r="B8" s="17">
        <v>44098</v>
      </c>
      <c r="C8" s="16">
        <v>31</v>
      </c>
      <c r="D8" s="16" t="s">
        <v>42</v>
      </c>
      <c r="E8" s="16">
        <v>344</v>
      </c>
      <c r="F8" s="16">
        <v>0</v>
      </c>
      <c r="G8" s="16">
        <v>0</v>
      </c>
      <c r="H8" s="16">
        <f>SUM(Tabla34[[#This Row],[P1 + P4]:[P2 + P5]])</f>
        <v>344</v>
      </c>
      <c r="I8" s="16">
        <f>Tabla34[[#This Row],[P3 + P6]]</f>
        <v>0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YEAR(Tabla34[[#This Row],[Fecha final]])</f>
        <v>2020</v>
      </c>
    </row>
    <row r="9" spans="1:14">
      <c r="A9" s="17">
        <v>44098</v>
      </c>
      <c r="B9" s="17">
        <v>44129</v>
      </c>
      <c r="C9" s="16">
        <v>31</v>
      </c>
      <c r="D9" s="16" t="s">
        <v>42</v>
      </c>
      <c r="E9" s="16">
        <v>421</v>
      </c>
      <c r="F9" s="16">
        <v>0</v>
      </c>
      <c r="G9" s="16">
        <v>0</v>
      </c>
      <c r="H9" s="16">
        <f>SUM(Tabla34[[#This Row],[P1 + P4]:[P2 + P5]])</f>
        <v>421</v>
      </c>
      <c r="I9" s="16">
        <f>Tabla34[[#This Row],[P3 + P6]]</f>
        <v>0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YEAR(Tabla34[[#This Row],[Fecha final]])</f>
        <v>2020</v>
      </c>
    </row>
    <row r="10" spans="1:14">
      <c r="A10" s="17">
        <v>44129</v>
      </c>
      <c r="B10" s="17">
        <v>44158</v>
      </c>
      <c r="C10" s="16">
        <v>29</v>
      </c>
      <c r="D10" s="16" t="s">
        <v>42</v>
      </c>
      <c r="E10" s="16">
        <v>654</v>
      </c>
      <c r="F10" s="16">
        <v>0</v>
      </c>
      <c r="G10" s="16">
        <v>0</v>
      </c>
      <c r="H10" s="16">
        <f>SUM(Tabla34[[#This Row],[P1 + P4]:[P2 + P5]])</f>
        <v>654</v>
      </c>
      <c r="I10" s="16">
        <f>Tabla34[[#This Row],[P3 + P6]]</f>
        <v>0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YEAR(Tabla34[[#This Row],[Fecha final]])</f>
        <v>2020</v>
      </c>
    </row>
    <row r="11" spans="1:14">
      <c r="A11" s="17">
        <v>44158</v>
      </c>
      <c r="B11" s="17">
        <v>44191</v>
      </c>
      <c r="C11" s="16">
        <v>33</v>
      </c>
      <c r="D11" s="16" t="s">
        <v>42</v>
      </c>
      <c r="E11" s="16">
        <v>963</v>
      </c>
      <c r="F11" s="16">
        <v>0</v>
      </c>
      <c r="G11" s="16">
        <v>0</v>
      </c>
      <c r="H11" s="16">
        <f>SUM(Tabla34[[#This Row],[P1 + P4]:[P2 + P5]])</f>
        <v>963</v>
      </c>
      <c r="I11" s="16">
        <f>Tabla34[[#This Row],[P3 + P6]]</f>
        <v>0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YEAR(Tabla34[[#This Row],[Fecha final]])</f>
        <v>2020</v>
      </c>
    </row>
    <row r="12" spans="1:14">
      <c r="A12" s="17">
        <v>44191</v>
      </c>
      <c r="B12" s="17">
        <v>44223</v>
      </c>
      <c r="C12" s="16">
        <v>32</v>
      </c>
      <c r="D12" s="16" t="s">
        <v>42</v>
      </c>
      <c r="E12" s="16">
        <v>1336</v>
      </c>
      <c r="F12" s="16">
        <v>0</v>
      </c>
      <c r="G12" s="16">
        <v>0</v>
      </c>
      <c r="H12" s="16">
        <f>SUM(Tabla34[[#This Row],[P1 + P4]:[P2 + P5]])</f>
        <v>1336</v>
      </c>
      <c r="I12" s="16">
        <f>Tabla34[[#This Row],[P3 + P6]]</f>
        <v>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YEAR(Tabla34[[#This Row],[Fecha final]])</f>
        <v>2021</v>
      </c>
    </row>
    <row r="13" spans="1:14">
      <c r="A13" s="17">
        <v>44223</v>
      </c>
      <c r="B13" s="17">
        <v>44250</v>
      </c>
      <c r="C13" s="16">
        <v>27</v>
      </c>
      <c r="D13" s="16" t="s">
        <v>42</v>
      </c>
      <c r="E13" s="16">
        <v>863</v>
      </c>
      <c r="F13" s="16">
        <v>0</v>
      </c>
      <c r="G13" s="16">
        <v>0</v>
      </c>
      <c r="H13" s="16">
        <f>SUM(Tabla34[[#This Row],[P1 + P4]:[P2 + P5]])</f>
        <v>863</v>
      </c>
      <c r="I13" s="16">
        <f>Tabla34[[#This Row],[P3 + P6]]</f>
        <v>0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YEAR(Tabla34[[#This Row],[Fecha final]])</f>
        <v>2021</v>
      </c>
    </row>
    <row r="14" spans="1:14">
      <c r="A14" s="17">
        <v>44250</v>
      </c>
      <c r="B14" s="17">
        <v>44278</v>
      </c>
      <c r="C14" s="16">
        <v>28</v>
      </c>
      <c r="D14" s="16" t="s">
        <v>42</v>
      </c>
      <c r="E14" s="16">
        <v>882</v>
      </c>
      <c r="F14" s="16">
        <v>0</v>
      </c>
      <c r="G14" s="16">
        <v>0</v>
      </c>
      <c r="H14" s="16">
        <f>SUM(Tabla34[[#This Row],[P1 + P4]:[P2 + P5]])</f>
        <v>882</v>
      </c>
      <c r="I14" s="16">
        <f>Tabla34[[#This Row],[P3 + P6]]</f>
        <v>0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YEAR(Tabla34[[#This Row],[Fecha final]])</f>
        <v>2021</v>
      </c>
    </row>
    <row r="15" spans="1:14">
      <c r="A15" s="17">
        <v>44278</v>
      </c>
      <c r="B15" s="17">
        <v>44313</v>
      </c>
      <c r="C15" s="16">
        <v>35</v>
      </c>
      <c r="D15" s="16" t="s">
        <v>42</v>
      </c>
      <c r="E15" s="16">
        <v>814</v>
      </c>
      <c r="F15" s="16">
        <v>0</v>
      </c>
      <c r="G15" s="16">
        <v>0</v>
      </c>
      <c r="H15" s="16">
        <f>SUM(Tabla34[[#This Row],[P1 + P4]:[P2 + P5]])</f>
        <v>814</v>
      </c>
      <c r="I15" s="16">
        <f>Tabla34[[#This Row],[P3 + P6]]</f>
        <v>0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YEAR(Tabla34[[#This Row],[Fecha final]])</f>
        <v>2021</v>
      </c>
    </row>
    <row r="16" spans="1:14">
      <c r="A16" s="17">
        <v>44313</v>
      </c>
      <c r="B16" s="17">
        <v>44341</v>
      </c>
      <c r="C16" s="16">
        <v>28</v>
      </c>
      <c r="D16" s="16" t="s">
        <v>42</v>
      </c>
      <c r="E16" s="16">
        <v>446</v>
      </c>
      <c r="F16" s="16">
        <v>0</v>
      </c>
      <c r="G16" s="16">
        <v>0</v>
      </c>
      <c r="H16" s="16">
        <f>SUM(Tabla34[[#This Row],[P1 + P4]:[P2 + P5]])</f>
        <v>446</v>
      </c>
      <c r="I16" s="16">
        <f>Tabla34[[#This Row],[P3 + P6]]</f>
        <v>0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YEAR(Tabla34[[#This Row],[Fecha final]])</f>
        <v>2021</v>
      </c>
    </row>
    <row r="17" spans="1:14">
      <c r="A17" s="17">
        <v>44341</v>
      </c>
      <c r="B17" s="17">
        <v>44347</v>
      </c>
      <c r="C17" s="16">
        <v>6</v>
      </c>
      <c r="D17" s="16" t="s">
        <v>42</v>
      </c>
      <c r="E17" s="16">
        <v>71</v>
      </c>
      <c r="F17" s="16">
        <v>0</v>
      </c>
      <c r="G17" s="16">
        <v>0</v>
      </c>
      <c r="H17" s="16">
        <f>SUM(Tabla34[[#This Row],[P1 + P4]:[P2 + P5]])</f>
        <v>71</v>
      </c>
      <c r="I17" s="16">
        <f>Tabla34[[#This Row],[P3 + P6]]</f>
        <v>0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YEAR(Tabla34[[#This Row],[Fecha final]])</f>
        <v>2021</v>
      </c>
    </row>
    <row r="18" spans="1:14">
      <c r="A18" s="17">
        <v>44347</v>
      </c>
      <c r="B18" s="17">
        <v>44370</v>
      </c>
      <c r="C18" s="16">
        <v>23</v>
      </c>
      <c r="D18" s="16" t="s">
        <v>42</v>
      </c>
      <c r="E18" s="16">
        <v>143</v>
      </c>
      <c r="F18" s="16">
        <v>71</v>
      </c>
      <c r="G18" s="16">
        <v>100</v>
      </c>
      <c r="H18" s="16">
        <f>SUM(Tabla34[[#This Row],[P1 + P4]:[P2 + P5]])</f>
        <v>214</v>
      </c>
      <c r="I18" s="16">
        <f>Tabla34[[#This Row],[P3 + P6]]</f>
        <v>100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YEAR(Tabla34[[#This Row],[Fecha final]])</f>
        <v>2021</v>
      </c>
    </row>
    <row r="19" spans="1:14">
      <c r="A19" s="17">
        <v>44370</v>
      </c>
      <c r="B19" s="17">
        <v>44400</v>
      </c>
      <c r="C19" s="16">
        <v>30</v>
      </c>
      <c r="D19" s="16" t="s">
        <v>42</v>
      </c>
      <c r="E19" s="16">
        <v>215</v>
      </c>
      <c r="F19" s="16">
        <v>105</v>
      </c>
      <c r="G19" s="16">
        <v>134</v>
      </c>
      <c r="H19" s="16">
        <f>SUM(Tabla34[[#This Row],[P1 + P4]:[P2 + P5]])</f>
        <v>320</v>
      </c>
      <c r="I19" s="16">
        <f>Tabla34[[#This Row],[P3 + P6]]</f>
        <v>134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YEAR(Tabla34[[#This Row],[Fecha final]])</f>
        <v>2021</v>
      </c>
    </row>
    <row r="20" spans="1:14">
      <c r="A20" s="17">
        <v>44400</v>
      </c>
      <c r="B20" s="17">
        <v>44431</v>
      </c>
      <c r="C20" s="16">
        <v>31</v>
      </c>
      <c r="D20" s="16" t="s">
        <v>42</v>
      </c>
      <c r="E20" s="16">
        <v>198</v>
      </c>
      <c r="F20" s="16">
        <v>110</v>
      </c>
      <c r="G20" s="16">
        <v>152</v>
      </c>
      <c r="H20" s="16">
        <f>SUM(Tabla34[[#This Row],[P1 + P4]:[P2 + P5]])</f>
        <v>308</v>
      </c>
      <c r="I20" s="16">
        <f>Tabla34[[#This Row],[P3 + P6]]</f>
        <v>152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YEAR(Tabla34[[#This Row],[Fecha final]])</f>
        <v>2021</v>
      </c>
    </row>
    <row r="21" spans="1:14">
      <c r="A21" s="17">
        <v>44431</v>
      </c>
      <c r="B21" s="17">
        <v>44461</v>
      </c>
      <c r="C21" s="16">
        <v>30</v>
      </c>
      <c r="D21" s="16" t="s">
        <v>42</v>
      </c>
      <c r="E21" s="16">
        <v>166</v>
      </c>
      <c r="F21" s="16">
        <v>94</v>
      </c>
      <c r="G21" s="16">
        <v>109</v>
      </c>
      <c r="H21" s="16">
        <f>SUM(Tabla34[[#This Row],[P1 + P4]:[P2 + P5]])</f>
        <v>260</v>
      </c>
      <c r="I21" s="16">
        <f>Tabla34[[#This Row],[P3 + P6]]</f>
        <v>109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YEAR(Tabla34[[#This Row],[Fecha final]])</f>
        <v>2021</v>
      </c>
    </row>
    <row r="22" spans="1:14">
      <c r="A22" s="17">
        <v>44461</v>
      </c>
      <c r="B22" s="17">
        <v>44494</v>
      </c>
      <c r="C22" s="16">
        <v>33</v>
      </c>
      <c r="D22" s="16" t="s">
        <v>42</v>
      </c>
      <c r="E22" s="16">
        <v>179</v>
      </c>
      <c r="F22" s="16">
        <v>146</v>
      </c>
      <c r="G22" s="16">
        <v>124</v>
      </c>
      <c r="H22" s="16">
        <f>SUM(Tabla34[[#This Row],[P1 + P4]:[P2 + P5]])</f>
        <v>325</v>
      </c>
      <c r="I22" s="16">
        <f>Tabla34[[#This Row],[P3 + P6]]</f>
        <v>124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YEAR(Tabla34[[#This Row],[Fecha final]])</f>
        <v>2021</v>
      </c>
    </row>
    <row r="23" spans="1:14">
      <c r="A23" s="17">
        <v>44494</v>
      </c>
      <c r="B23" s="17">
        <v>44523</v>
      </c>
      <c r="C23" s="16">
        <v>29</v>
      </c>
      <c r="D23" s="16" t="s">
        <v>42</v>
      </c>
      <c r="E23" s="16">
        <v>331</v>
      </c>
      <c r="F23" s="16">
        <v>311</v>
      </c>
      <c r="G23" s="16">
        <v>135</v>
      </c>
      <c r="H23" s="16">
        <f>SUM(Tabla34[[#This Row],[P1 + P4]:[P2 + P5]])</f>
        <v>642</v>
      </c>
      <c r="I23" s="16">
        <f>Tabla34[[#This Row],[P3 + P6]]</f>
        <v>135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YEAR(Tabla34[[#This Row],[Fecha final]])</f>
        <v>2021</v>
      </c>
    </row>
    <row r="24" spans="1:14">
      <c r="A24" s="17">
        <v>44523</v>
      </c>
      <c r="B24" s="17">
        <v>44533</v>
      </c>
      <c r="C24" s="16">
        <v>10</v>
      </c>
      <c r="D24" s="16" t="s">
        <v>42</v>
      </c>
      <c r="E24" s="16">
        <v>178</v>
      </c>
      <c r="F24" s="16">
        <v>163</v>
      </c>
      <c r="G24" s="16">
        <v>89</v>
      </c>
      <c r="H24" s="16">
        <f>SUM(Tabla34[[#This Row],[P1 + P4]:[P2 + P5]])</f>
        <v>341</v>
      </c>
      <c r="I24" s="16">
        <f>Tabla34[[#This Row],[P3 + P6]]</f>
        <v>89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YEAR(Tabla34[[#This Row],[Fecha final]])</f>
        <v>2021</v>
      </c>
    </row>
    <row r="25" spans="1:14">
      <c r="A25" s="17">
        <v>44533</v>
      </c>
      <c r="B25" s="17">
        <v>44562</v>
      </c>
      <c r="C25" s="16">
        <v>29</v>
      </c>
      <c r="D25" s="16" t="s">
        <v>42</v>
      </c>
      <c r="E25" s="16">
        <v>348</v>
      </c>
      <c r="F25" s="16">
        <v>322</v>
      </c>
      <c r="G25" s="16">
        <v>248</v>
      </c>
      <c r="H25" s="16">
        <f>SUM(Tabla34[[#This Row],[P1 + P4]:[P2 + P5]])</f>
        <v>670</v>
      </c>
      <c r="I25" s="16">
        <f>Tabla34[[#This Row],[P3 + P6]]</f>
        <v>248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YEAR(Tabla34[[#This Row],[Fecha final]])</f>
        <v>2022</v>
      </c>
    </row>
    <row r="26" spans="1:14">
      <c r="A26" s="17">
        <v>44562</v>
      </c>
      <c r="B26" s="17">
        <v>44574</v>
      </c>
      <c r="C26" s="16">
        <v>12</v>
      </c>
      <c r="D26" s="16" t="s">
        <v>42</v>
      </c>
      <c r="E26" s="16">
        <v>54</v>
      </c>
      <c r="F26" s="16">
        <v>32</v>
      </c>
      <c r="G26" s="16">
        <v>40</v>
      </c>
      <c r="H26" s="16">
        <f>SUM(Tabla34[[#This Row],[P1 + P4]:[P2 + P5]])</f>
        <v>86</v>
      </c>
      <c r="I26" s="16">
        <f>Tabla34[[#This Row],[P3 + P6]]</f>
        <v>40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YEAR(Tabla34[[#This Row],[Fecha final]])</f>
        <v>2022</v>
      </c>
    </row>
    <row r="27" spans="1:14">
      <c r="A27" s="17">
        <v>44574</v>
      </c>
      <c r="B27" s="17">
        <v>44604</v>
      </c>
      <c r="C27" s="16">
        <v>30</v>
      </c>
      <c r="D27" s="16" t="s">
        <v>42</v>
      </c>
      <c r="E27" s="16">
        <v>245</v>
      </c>
      <c r="F27" s="16">
        <v>206</v>
      </c>
      <c r="G27" s="16">
        <v>113</v>
      </c>
      <c r="H27" s="16">
        <f>SUM(Tabla34[[#This Row],[P1 + P4]:[P2 + P5]])</f>
        <v>451</v>
      </c>
      <c r="I27" s="16">
        <f>Tabla34[[#This Row],[P3 + P6]]</f>
        <v>113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YEAR(Tabla34[[#This Row],[Fecha final]])</f>
        <v>2022</v>
      </c>
    </row>
    <row r="28" spans="1:14">
      <c r="A28" s="17">
        <v>44604</v>
      </c>
      <c r="B28" s="17">
        <v>44631</v>
      </c>
      <c r="C28" s="16">
        <v>27</v>
      </c>
      <c r="D28" s="16" t="s">
        <v>42</v>
      </c>
      <c r="E28" s="16">
        <v>313</v>
      </c>
      <c r="F28" s="16">
        <v>298</v>
      </c>
      <c r="G28" s="16">
        <v>111</v>
      </c>
      <c r="H28" s="16">
        <f>SUM(Tabla34[[#This Row],[P1 + P4]:[P2 + P5]])</f>
        <v>611</v>
      </c>
      <c r="I28" s="16">
        <f>Tabla34[[#This Row],[P3 + P6]]</f>
        <v>111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YEAR(Tabla34[[#This Row],[Fecha final]])</f>
        <v>2022</v>
      </c>
    </row>
    <row r="29" spans="1:14">
      <c r="A29" s="17">
        <v>44631</v>
      </c>
      <c r="B29" s="17">
        <v>44663</v>
      </c>
      <c r="C29" s="16">
        <v>32</v>
      </c>
      <c r="D29" s="16" t="s">
        <v>42</v>
      </c>
      <c r="E29" s="16">
        <v>336</v>
      </c>
      <c r="F29" s="16">
        <v>304</v>
      </c>
      <c r="G29" s="16">
        <v>218</v>
      </c>
      <c r="H29" s="16">
        <f>SUM(Tabla34[[#This Row],[P1 + P4]:[P2 + P5]])</f>
        <v>640</v>
      </c>
      <c r="I29" s="16">
        <f>Tabla34[[#This Row],[P3 + P6]]</f>
        <v>218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YEAR(Tabla34[[#This Row],[Fecha final]])</f>
        <v>2022</v>
      </c>
    </row>
    <row r="30" spans="1:14">
      <c r="A30" s="17">
        <v>44663</v>
      </c>
      <c r="B30" s="17">
        <v>44691</v>
      </c>
      <c r="C30" s="16">
        <v>28</v>
      </c>
      <c r="D30" s="16" t="s">
        <v>42</v>
      </c>
      <c r="E30" s="16">
        <v>146</v>
      </c>
      <c r="F30" s="16">
        <v>120</v>
      </c>
      <c r="G30" s="16">
        <v>87</v>
      </c>
      <c r="H30" s="16">
        <f>SUM(Tabla34[[#This Row],[P1 + P4]:[P2 + P5]])</f>
        <v>266</v>
      </c>
      <c r="I30" s="16">
        <f>Tabla34[[#This Row],[P3 + P6]]</f>
        <v>87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YEAR(Tabla34[[#This Row],[Fecha final]])</f>
        <v>2022</v>
      </c>
    </row>
    <row r="31" spans="1:14">
      <c r="A31" s="17">
        <v>44691</v>
      </c>
      <c r="B31" s="17">
        <v>44726</v>
      </c>
      <c r="C31" s="16">
        <v>35</v>
      </c>
      <c r="D31" s="16" t="s">
        <v>42</v>
      </c>
      <c r="E31" s="16">
        <v>167</v>
      </c>
      <c r="F31" s="16">
        <v>104</v>
      </c>
      <c r="G31" s="16">
        <v>94</v>
      </c>
      <c r="H31" s="16">
        <f>SUM(Tabla34[[#This Row],[P1 + P4]:[P2 + P5]])</f>
        <v>271</v>
      </c>
      <c r="I31" s="16">
        <f>Tabla34[[#This Row],[P3 + P6]]</f>
        <v>94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YEAR(Tabla34[[#This Row],[Fecha final]])</f>
        <v>2022</v>
      </c>
    </row>
    <row r="32" spans="1:14">
      <c r="A32" s="17">
        <v>44726</v>
      </c>
      <c r="B32" s="17">
        <v>44754</v>
      </c>
      <c r="C32" s="16">
        <v>28</v>
      </c>
      <c r="D32" s="16" t="s">
        <v>42</v>
      </c>
      <c r="E32" s="16">
        <v>189</v>
      </c>
      <c r="F32" s="16">
        <v>116</v>
      </c>
      <c r="G32" s="16">
        <v>81</v>
      </c>
      <c r="H32" s="16">
        <f>SUM(Tabla34[[#This Row],[P1 + P4]:[P2 + P5]])</f>
        <v>305</v>
      </c>
      <c r="I32" s="16">
        <f>Tabla34[[#This Row],[P3 + P6]]</f>
        <v>81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YEAR(Tabla34[[#This Row],[Fecha final]])</f>
        <v>2022</v>
      </c>
    </row>
    <row r="33" spans="1:14">
      <c r="A33" s="17">
        <v>44754</v>
      </c>
      <c r="B33" s="17">
        <v>44782</v>
      </c>
      <c r="C33" s="16">
        <v>28</v>
      </c>
      <c r="D33" s="16" t="s">
        <v>42</v>
      </c>
      <c r="E33" s="16">
        <v>247</v>
      </c>
      <c r="F33" s="16">
        <v>160</v>
      </c>
      <c r="G33" s="16">
        <v>87</v>
      </c>
      <c r="H33" s="16">
        <f>SUM(Tabla34[[#This Row],[P1 + P4]:[P2 + P5]])</f>
        <v>407</v>
      </c>
      <c r="I33" s="16">
        <f>Tabla34[[#This Row],[P3 + P6]]</f>
        <v>87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YEAR(Tabla34[[#This Row],[Fecha final]])</f>
        <v>2022</v>
      </c>
    </row>
    <row r="34" spans="1:14">
      <c r="A34" s="17">
        <v>44782</v>
      </c>
      <c r="B34" s="17">
        <v>44816</v>
      </c>
      <c r="C34" s="16">
        <v>34</v>
      </c>
      <c r="D34" s="16" t="s">
        <v>42</v>
      </c>
      <c r="E34" s="16">
        <v>195</v>
      </c>
      <c r="F34" s="16">
        <v>97</v>
      </c>
      <c r="G34" s="16">
        <v>101</v>
      </c>
      <c r="H34" s="16">
        <f>SUM(Tabla34[[#This Row],[P1 + P4]:[P2 + P5]])</f>
        <v>292</v>
      </c>
      <c r="I34" s="16">
        <f>Tabla34[[#This Row],[P3 + P6]]</f>
        <v>101</v>
      </c>
      <c r="J34" s="16" t="s">
        <v>156</v>
      </c>
      <c r="K34" s="16" t="s">
        <v>156</v>
      </c>
      <c r="L34" s="16" t="s">
        <v>156</v>
      </c>
      <c r="M34" s="16" t="s">
        <v>156</v>
      </c>
      <c r="N34" s="16">
        <f>YEAR(Tabla34[[#This Row],[Fecha final]])</f>
        <v>2022</v>
      </c>
    </row>
    <row r="35" spans="1:14">
      <c r="A35" s="17">
        <v>44816</v>
      </c>
      <c r="B35" s="17">
        <v>44848</v>
      </c>
      <c r="C35" s="16">
        <v>32</v>
      </c>
      <c r="D35" s="16" t="s">
        <v>42</v>
      </c>
      <c r="E35" s="16">
        <v>164</v>
      </c>
      <c r="F35" s="16">
        <v>87</v>
      </c>
      <c r="G35" s="16">
        <v>93</v>
      </c>
      <c r="H35" s="16">
        <f>SUM(Tabla34[[#This Row],[P1 + P4]:[P2 + P5]])</f>
        <v>251</v>
      </c>
      <c r="I35" s="16">
        <f>Tabla34[[#This Row],[P3 + P6]]</f>
        <v>93</v>
      </c>
      <c r="J35" s="16" t="s">
        <v>156</v>
      </c>
      <c r="K35" s="16" t="s">
        <v>156</v>
      </c>
      <c r="L35" s="16" t="s">
        <v>156</v>
      </c>
      <c r="M35" s="16" t="s">
        <v>156</v>
      </c>
      <c r="N35" s="16">
        <f>YEAR(Tabla34[[#This Row],[Fecha final]])</f>
        <v>2022</v>
      </c>
    </row>
    <row r="36" spans="1:14">
      <c r="A36" s="17">
        <v>44848</v>
      </c>
      <c r="B36" s="17">
        <v>44878</v>
      </c>
      <c r="C36" s="16">
        <v>30</v>
      </c>
      <c r="D36" s="16" t="s">
        <v>42</v>
      </c>
      <c r="E36" s="16">
        <v>147</v>
      </c>
      <c r="F36" s="16">
        <v>99</v>
      </c>
      <c r="G36" s="16">
        <v>118</v>
      </c>
      <c r="H36" s="16">
        <f>SUM(Tabla34[[#This Row],[P1 + P4]:[P2 + P5]])</f>
        <v>246</v>
      </c>
      <c r="I36" s="16">
        <f>Tabla34[[#This Row],[P3 + P6]]</f>
        <v>118</v>
      </c>
      <c r="J36" s="16" t="s">
        <v>156</v>
      </c>
      <c r="K36" s="16" t="s">
        <v>156</v>
      </c>
      <c r="L36" s="16" t="s">
        <v>156</v>
      </c>
      <c r="M36" s="16" t="s">
        <v>156</v>
      </c>
      <c r="N36" s="16">
        <f>YEAR(Tabla34[[#This Row],[Fecha final]])</f>
        <v>2022</v>
      </c>
    </row>
    <row r="37" spans="1:14">
      <c r="A37" s="17">
        <v>44878</v>
      </c>
      <c r="B37" s="17">
        <v>44909</v>
      </c>
      <c r="C37" s="16">
        <v>31</v>
      </c>
      <c r="D37" s="16" t="s">
        <v>42</v>
      </c>
      <c r="E37" s="16">
        <v>311</v>
      </c>
      <c r="F37" s="16">
        <v>253</v>
      </c>
      <c r="G37" s="16">
        <v>218</v>
      </c>
      <c r="H37" s="16">
        <f>SUM(Tabla34[[#This Row],[P1 + P4]:[P2 + P5]])</f>
        <v>564</v>
      </c>
      <c r="I37" s="16">
        <f>Tabla34[[#This Row],[P3 + P6]]</f>
        <v>218</v>
      </c>
      <c r="J37" s="16" t="s">
        <v>156</v>
      </c>
      <c r="K37" s="16" t="s">
        <v>156</v>
      </c>
      <c r="L37" s="16" t="s">
        <v>156</v>
      </c>
      <c r="M37" s="16" t="s">
        <v>156</v>
      </c>
      <c r="N37" s="16">
        <f>YEAR(Tabla34[[#This Row],[Fecha final]])</f>
        <v>2022</v>
      </c>
    </row>
    <row r="38" spans="1:14">
      <c r="A38" s="17">
        <v>44909</v>
      </c>
      <c r="B38" s="17">
        <v>44940</v>
      </c>
      <c r="C38" s="16">
        <v>31</v>
      </c>
      <c r="D38" s="16" t="s">
        <v>42</v>
      </c>
      <c r="E38" s="16">
        <v>362</v>
      </c>
      <c r="F38" s="16">
        <v>295</v>
      </c>
      <c r="G38" s="16">
        <v>279</v>
      </c>
      <c r="H38" s="16">
        <f>SUM(Tabla34[[#This Row],[P1 + P4]:[P2 + P5]])</f>
        <v>657</v>
      </c>
      <c r="I38" s="16">
        <f>Tabla34[[#This Row],[P3 + P6]]</f>
        <v>279</v>
      </c>
      <c r="J38" s="16" t="s">
        <v>156</v>
      </c>
      <c r="K38" s="16" t="s">
        <v>156</v>
      </c>
      <c r="L38" s="16" t="s">
        <v>156</v>
      </c>
      <c r="M38" s="16" t="s">
        <v>156</v>
      </c>
      <c r="N38" s="16">
        <f>YEAR(Tabla34[[#This Row],[Fecha final]])</f>
        <v>2023</v>
      </c>
    </row>
    <row r="39" spans="1:14">
      <c r="A39" s="17">
        <v>44940</v>
      </c>
      <c r="B39" s="17">
        <v>44969</v>
      </c>
      <c r="C39" s="16">
        <v>29</v>
      </c>
      <c r="D39" s="16" t="s">
        <v>42</v>
      </c>
      <c r="E39" s="16">
        <v>460</v>
      </c>
      <c r="F39" s="16">
        <v>405</v>
      </c>
      <c r="G39" s="16">
        <v>288</v>
      </c>
      <c r="H39" s="16">
        <f>SUM(Tabla34[[#This Row],[P1 + P4]:[P2 + P5]])</f>
        <v>865</v>
      </c>
      <c r="I39" s="16">
        <f>Tabla34[[#This Row],[P3 + P6]]</f>
        <v>288</v>
      </c>
      <c r="J39" s="16" t="s">
        <v>156</v>
      </c>
      <c r="K39" s="16" t="s">
        <v>156</v>
      </c>
      <c r="L39" s="16" t="s">
        <v>156</v>
      </c>
      <c r="M39" s="16" t="s">
        <v>156</v>
      </c>
      <c r="N39" s="16">
        <f>YEAR(Tabla34[[#This Row],[Fecha final]])</f>
        <v>2023</v>
      </c>
    </row>
    <row r="40" spans="1:14">
      <c r="A40" s="17">
        <v>44969</v>
      </c>
      <c r="B40" s="17">
        <v>44997</v>
      </c>
      <c r="C40" s="16">
        <v>28</v>
      </c>
      <c r="D40" s="16" t="s">
        <v>42</v>
      </c>
      <c r="E40" s="16">
        <v>397</v>
      </c>
      <c r="F40" s="16">
        <v>348</v>
      </c>
      <c r="G40" s="16">
        <v>271</v>
      </c>
      <c r="H40" s="16">
        <f>SUM(Tabla34[[#This Row],[P1 + P4]:[P2 + P5]])</f>
        <v>745</v>
      </c>
      <c r="I40" s="16">
        <f>Tabla34[[#This Row],[P3 + P6]]</f>
        <v>271</v>
      </c>
      <c r="J40" s="16" t="s">
        <v>156</v>
      </c>
      <c r="K40" s="16" t="s">
        <v>156</v>
      </c>
      <c r="L40" s="16" t="s">
        <v>156</v>
      </c>
      <c r="M40" s="16" t="s">
        <v>156</v>
      </c>
      <c r="N40" s="16">
        <f>YEAR(Tabla34[[#This Row],[Fecha final]])</f>
        <v>2023</v>
      </c>
    </row>
    <row r="41" spans="1:14">
      <c r="A41" s="17">
        <v>44997</v>
      </c>
      <c r="B41" s="17">
        <v>45032</v>
      </c>
      <c r="C41" s="16">
        <v>35</v>
      </c>
      <c r="D41" s="16" t="s">
        <v>42</v>
      </c>
      <c r="E41" s="16">
        <v>232</v>
      </c>
      <c r="F41" s="16">
        <v>204</v>
      </c>
      <c r="G41" s="16">
        <v>158</v>
      </c>
      <c r="H41" s="16">
        <f>SUM(Tabla34[[#This Row],[P1 + P4]:[P2 + P5]])</f>
        <v>436</v>
      </c>
      <c r="I41" s="16">
        <f>Tabla34[[#This Row],[P3 + P6]]</f>
        <v>158</v>
      </c>
      <c r="J41" s="16" t="s">
        <v>156</v>
      </c>
      <c r="K41" s="16" t="s">
        <v>156</v>
      </c>
      <c r="L41" s="16" t="s">
        <v>156</v>
      </c>
      <c r="M41" s="16" t="s">
        <v>156</v>
      </c>
      <c r="N41" s="16">
        <f>YEAR(Tabla34[[#This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98</v>
      </c>
      <c r="B47" s="16" t="s">
        <v>99</v>
      </c>
      <c r="C47" s="16">
        <v>35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452</v>
      </c>
      <c r="B48" s="16" t="s">
        <v>98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392</v>
      </c>
      <c r="B49" s="16" t="s">
        <v>452</v>
      </c>
      <c r="C49" s="16">
        <v>29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453</v>
      </c>
      <c r="B50" s="16" t="s">
        <v>392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454</v>
      </c>
      <c r="B51" s="16" t="s">
        <v>453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455</v>
      </c>
      <c r="B52" s="16" t="s">
        <v>454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396</v>
      </c>
      <c r="B53" s="16" t="s">
        <v>455</v>
      </c>
      <c r="C53" s="16">
        <v>32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397</v>
      </c>
      <c r="B54" s="16" t="s">
        <v>396</v>
      </c>
      <c r="C54" s="16">
        <v>34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398</v>
      </c>
      <c r="B55" s="16" t="s">
        <v>397</v>
      </c>
      <c r="C55" s="16">
        <v>28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108</v>
      </c>
      <c r="B56" s="16" t="s">
        <v>398</v>
      </c>
      <c r="C56" s="16">
        <v>28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399</v>
      </c>
      <c r="B57" s="16" t="s">
        <v>108</v>
      </c>
      <c r="C57" s="16">
        <v>35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110</v>
      </c>
      <c r="B58" s="16" t="s">
        <v>399</v>
      </c>
      <c r="C58" s="16">
        <v>28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400</v>
      </c>
      <c r="B59" s="16" t="s">
        <v>110</v>
      </c>
      <c r="C59" s="16">
        <v>32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112</v>
      </c>
      <c r="B60" s="16" t="s">
        <v>400</v>
      </c>
      <c r="C60" s="16">
        <v>27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113</v>
      </c>
      <c r="B61" s="16" t="s">
        <v>112</v>
      </c>
      <c r="C61" s="16">
        <v>30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456</v>
      </c>
      <c r="B62" s="16" t="s">
        <v>113</v>
      </c>
      <c r="C62" s="16">
        <v>12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115</v>
      </c>
      <c r="B63" s="16" t="s">
        <v>456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116</v>
      </c>
      <c r="B64" s="16" t="s">
        <v>115</v>
      </c>
      <c r="C64" s="16">
        <v>10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117</v>
      </c>
      <c r="B65" s="16" t="s">
        <v>116</v>
      </c>
      <c r="C65" s="16">
        <v>29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118</v>
      </c>
      <c r="B66" s="16" t="s">
        <v>117</v>
      </c>
      <c r="C66" s="16">
        <v>33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119</v>
      </c>
      <c r="B67" s="16" t="s">
        <v>118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403</v>
      </c>
      <c r="B68" s="16" t="s">
        <v>119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404</v>
      </c>
      <c r="B69" s="16" t="s">
        <v>403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404</v>
      </c>
      <c r="C70" s="16">
        <v>23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122</v>
      </c>
      <c r="B71" s="16" t="s">
        <v>51</v>
      </c>
      <c r="C71" s="16">
        <v>6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123</v>
      </c>
      <c r="B72" s="16" t="s">
        <v>122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124</v>
      </c>
      <c r="B73" s="16" t="s">
        <v>123</v>
      </c>
      <c r="C73" s="16">
        <v>35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125</v>
      </c>
      <c r="B74" s="16" t="s">
        <v>124</v>
      </c>
      <c r="C74" s="16">
        <v>28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126</v>
      </c>
      <c r="B75" s="16" t="s">
        <v>125</v>
      </c>
      <c r="C75" s="16">
        <v>27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424</v>
      </c>
      <c r="B76" s="16" t="s">
        <v>126</v>
      </c>
      <c r="C76" s="16">
        <v>32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405</v>
      </c>
      <c r="B77" s="16" t="s">
        <v>424</v>
      </c>
      <c r="C77" s="16">
        <v>33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457</v>
      </c>
      <c r="B78" s="16" t="s">
        <v>405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130</v>
      </c>
      <c r="B79" s="16" t="s">
        <v>457</v>
      </c>
      <c r="C79" s="16">
        <v>31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131</v>
      </c>
      <c r="B80" s="16" t="s">
        <v>130</v>
      </c>
      <c r="C80" s="16">
        <v>31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387</v>
      </c>
      <c r="B81" s="16" t="s">
        <v>131</v>
      </c>
      <c r="C81" s="16">
        <v>32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9.1999999999999993</v>
      </c>
      <c r="C87" s="16">
        <v>9.1999999999999993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98</v>
      </c>
      <c r="B89" s="16" t="s">
        <v>99</v>
      </c>
      <c r="C89" s="16">
        <v>35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452</v>
      </c>
      <c r="B90" s="16" t="s">
        <v>98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392</v>
      </c>
      <c r="B91" s="16" t="s">
        <v>452</v>
      </c>
      <c r="C91" s="16">
        <v>29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453</v>
      </c>
      <c r="B92" s="16" t="s">
        <v>392</v>
      </c>
      <c r="C92" s="16">
        <v>31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454</v>
      </c>
      <c r="B93" s="16" t="s">
        <v>453</v>
      </c>
      <c r="C93" s="16">
        <v>31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455</v>
      </c>
      <c r="B94" s="16" t="s">
        <v>454</v>
      </c>
      <c r="C94" s="16">
        <v>30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396</v>
      </c>
      <c r="B95" s="16" t="s">
        <v>455</v>
      </c>
      <c r="C95" s="16">
        <v>32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397</v>
      </c>
      <c r="B96" s="16" t="s">
        <v>396</v>
      </c>
      <c r="C96" s="16">
        <v>34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398</v>
      </c>
      <c r="B97" s="16" t="s">
        <v>397</v>
      </c>
      <c r="C97" s="16">
        <v>28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108</v>
      </c>
      <c r="B98" s="16" t="s">
        <v>398</v>
      </c>
      <c r="C98" s="16">
        <v>28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399</v>
      </c>
      <c r="B99" s="16" t="s">
        <v>108</v>
      </c>
      <c r="C99" s="16">
        <v>35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110</v>
      </c>
      <c r="B100" s="16" t="s">
        <v>399</v>
      </c>
      <c r="C100" s="16">
        <v>28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400</v>
      </c>
      <c r="B101" s="16" t="s">
        <v>110</v>
      </c>
      <c r="C101" s="16">
        <v>32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112</v>
      </c>
      <c r="B102" s="16" t="s">
        <v>400</v>
      </c>
      <c r="C102" s="16">
        <v>27</v>
      </c>
      <c r="D102" s="16" t="s">
        <v>42</v>
      </c>
      <c r="E102" s="16">
        <v>9.1999999999999993</v>
      </c>
      <c r="F102" s="16">
        <v>9.1999999999999993</v>
      </c>
      <c r="G102" s="16">
        <v>0</v>
      </c>
    </row>
    <row r="103" spans="1:7">
      <c r="A103" s="16" t="s">
        <v>113</v>
      </c>
      <c r="B103" s="16" t="s">
        <v>112</v>
      </c>
      <c r="C103" s="16">
        <v>30</v>
      </c>
      <c r="D103" s="16" t="s">
        <v>42</v>
      </c>
      <c r="E103" s="16">
        <v>9.1999999999999993</v>
      </c>
      <c r="F103" s="16">
        <v>9.1999999999999993</v>
      </c>
      <c r="G103" s="16">
        <v>0</v>
      </c>
    </row>
    <row r="104" spans="1:7">
      <c r="A104" s="16" t="s">
        <v>456</v>
      </c>
      <c r="B104" s="16" t="s">
        <v>113</v>
      </c>
      <c r="C104" s="16">
        <v>12</v>
      </c>
      <c r="D104" s="16" t="s">
        <v>42</v>
      </c>
      <c r="E104" s="16">
        <v>9.1999999999999993</v>
      </c>
      <c r="F104" s="16">
        <v>9.1999999999999993</v>
      </c>
      <c r="G104" s="16">
        <v>0</v>
      </c>
    </row>
    <row r="105" spans="1:7">
      <c r="A105" s="16" t="s">
        <v>115</v>
      </c>
      <c r="B105" s="16" t="s">
        <v>456</v>
      </c>
      <c r="C105" s="16">
        <v>29</v>
      </c>
      <c r="D105" s="16" t="s">
        <v>42</v>
      </c>
      <c r="E105" s="16">
        <v>9.1999999999999993</v>
      </c>
      <c r="F105" s="16">
        <v>9.1999999999999993</v>
      </c>
      <c r="G105" s="16">
        <v>0</v>
      </c>
    </row>
    <row r="106" spans="1:7">
      <c r="A106" s="16" t="s">
        <v>116</v>
      </c>
      <c r="B106" s="16" t="s">
        <v>115</v>
      </c>
      <c r="C106" s="16">
        <v>10</v>
      </c>
      <c r="D106" s="16" t="s">
        <v>42</v>
      </c>
      <c r="E106" s="16">
        <v>9.1999999999999993</v>
      </c>
      <c r="F106" s="16">
        <v>9.1999999999999993</v>
      </c>
      <c r="G106" s="16">
        <v>0</v>
      </c>
    </row>
    <row r="107" spans="1:7">
      <c r="A107" s="16" t="s">
        <v>117</v>
      </c>
      <c r="B107" s="16" t="s">
        <v>116</v>
      </c>
      <c r="C107" s="16">
        <v>29</v>
      </c>
      <c r="D107" s="16" t="s">
        <v>42</v>
      </c>
      <c r="E107" s="16">
        <v>9.1999999999999993</v>
      </c>
      <c r="F107" s="16">
        <v>9.1999999999999993</v>
      </c>
      <c r="G107" s="16">
        <v>0</v>
      </c>
    </row>
    <row r="108" spans="1:7">
      <c r="A108" s="16" t="s">
        <v>118</v>
      </c>
      <c r="B108" s="16" t="s">
        <v>117</v>
      </c>
      <c r="C108" s="16">
        <v>33</v>
      </c>
      <c r="D108" s="16" t="s">
        <v>42</v>
      </c>
      <c r="E108" s="16">
        <v>9.1999999999999993</v>
      </c>
      <c r="F108" s="16">
        <v>9.1999999999999993</v>
      </c>
      <c r="G108" s="16">
        <v>0</v>
      </c>
    </row>
    <row r="109" spans="1:7">
      <c r="A109" s="16" t="s">
        <v>119</v>
      </c>
      <c r="B109" s="16" t="s">
        <v>118</v>
      </c>
      <c r="C109" s="16">
        <v>30</v>
      </c>
      <c r="D109" s="16" t="s">
        <v>42</v>
      </c>
      <c r="E109" s="16">
        <v>9.1999999999999993</v>
      </c>
      <c r="F109" s="16">
        <v>9.1999999999999993</v>
      </c>
      <c r="G109" s="16">
        <v>0</v>
      </c>
    </row>
    <row r="110" spans="1:7">
      <c r="A110" s="16" t="s">
        <v>403</v>
      </c>
      <c r="B110" s="16" t="s">
        <v>119</v>
      </c>
      <c r="C110" s="16">
        <v>31</v>
      </c>
      <c r="D110" s="16" t="s">
        <v>42</v>
      </c>
      <c r="E110" s="16">
        <v>9.1999999999999993</v>
      </c>
      <c r="F110" s="16">
        <v>9.1999999999999993</v>
      </c>
      <c r="G110" s="16">
        <v>0</v>
      </c>
    </row>
    <row r="111" spans="1:7">
      <c r="A111" s="16" t="s">
        <v>404</v>
      </c>
      <c r="B111" s="16" t="s">
        <v>403</v>
      </c>
      <c r="C111" s="16">
        <v>30</v>
      </c>
      <c r="D111" s="16" t="s">
        <v>42</v>
      </c>
      <c r="E111" s="16">
        <v>9.1999999999999993</v>
      </c>
      <c r="F111" s="16">
        <v>9.1999999999999993</v>
      </c>
      <c r="G111" s="16">
        <v>0</v>
      </c>
    </row>
    <row r="112" spans="1:7">
      <c r="A112" s="16" t="s">
        <v>51</v>
      </c>
      <c r="B112" s="16" t="s">
        <v>404</v>
      </c>
      <c r="C112" s="16">
        <v>23</v>
      </c>
      <c r="D112" s="16" t="s">
        <v>42</v>
      </c>
      <c r="E112" s="16">
        <v>9.1999999999999993</v>
      </c>
      <c r="F112" s="16">
        <v>9.1999999999999993</v>
      </c>
      <c r="G112" s="16">
        <v>0</v>
      </c>
    </row>
    <row r="113" spans="1:7">
      <c r="A113" s="16" t="s">
        <v>122</v>
      </c>
      <c r="B113" s="16" t="s">
        <v>51</v>
      </c>
      <c r="C113" s="16">
        <v>6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123</v>
      </c>
      <c r="B114" s="16" t="s">
        <v>122</v>
      </c>
      <c r="C114" s="16">
        <v>28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124</v>
      </c>
      <c r="B115" s="16" t="s">
        <v>123</v>
      </c>
      <c r="C115" s="16">
        <v>35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125</v>
      </c>
      <c r="B116" s="16" t="s">
        <v>124</v>
      </c>
      <c r="C116" s="16">
        <v>28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126</v>
      </c>
      <c r="B117" s="16" t="s">
        <v>125</v>
      </c>
      <c r="C117" s="16">
        <v>27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424</v>
      </c>
      <c r="B118" s="16" t="s">
        <v>126</v>
      </c>
      <c r="C118" s="16">
        <v>32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405</v>
      </c>
      <c r="B119" s="16" t="s">
        <v>424</v>
      </c>
      <c r="C119" s="16">
        <v>33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457</v>
      </c>
      <c r="B120" s="16" t="s">
        <v>405</v>
      </c>
      <c r="C120" s="16">
        <v>29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130</v>
      </c>
      <c r="B121" s="16" t="s">
        <v>457</v>
      </c>
      <c r="C121" s="16">
        <v>31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131</v>
      </c>
      <c r="B122" s="16" t="s">
        <v>130</v>
      </c>
      <c r="C122" s="16">
        <v>31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387</v>
      </c>
      <c r="B123" s="16" t="s">
        <v>131</v>
      </c>
      <c r="C123" s="16">
        <v>32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CE17-BBF1-43A0-B3AA-34B5120B4D82}">
  <dimension ref="A1:N123"/>
  <sheetViews>
    <sheetView topLeftCell="A16" workbookViewId="0">
      <selection activeCell="E27" sqref="E27:E38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458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1382</v>
      </c>
      <c r="C4" s="16">
        <v>952</v>
      </c>
      <c r="D4" s="16">
        <v>1088</v>
      </c>
    </row>
    <row r="5" spans="1:14">
      <c r="A5" s="16" t="s">
        <v>36</v>
      </c>
      <c r="B5" s="16">
        <v>40</v>
      </c>
      <c r="C5" s="16">
        <v>28</v>
      </c>
      <c r="D5" s="16">
        <v>32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44005</v>
      </c>
      <c r="B7" s="17">
        <v>44035</v>
      </c>
      <c r="C7" s="16">
        <v>30</v>
      </c>
      <c r="D7" s="16" t="s">
        <v>42</v>
      </c>
      <c r="E7" s="16">
        <v>28</v>
      </c>
      <c r="F7" s="16">
        <v>40</v>
      </c>
      <c r="G7" s="16">
        <v>0</v>
      </c>
      <c r="H7" s="16">
        <f>SUM(Tabla35[[#This Row],[P1 + P4]:[P2 + P5]])</f>
        <v>68</v>
      </c>
      <c r="I7" s="16">
        <f>Tabla35[[#This Row],[P3 + P6]]</f>
        <v>0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YEAR(Tabla35[[#This Row],[Fecha final]])</f>
        <v>2020</v>
      </c>
    </row>
    <row r="8" spans="1:14">
      <c r="A8" s="17">
        <v>44035</v>
      </c>
      <c r="B8" s="17">
        <v>44067</v>
      </c>
      <c r="C8" s="16">
        <v>32</v>
      </c>
      <c r="D8" s="16" t="s">
        <v>42</v>
      </c>
      <c r="E8" s="16">
        <v>20</v>
      </c>
      <c r="F8" s="16">
        <v>27</v>
      </c>
      <c r="G8" s="16">
        <v>0</v>
      </c>
      <c r="H8" s="16">
        <f>SUM(Tabla35[[#This Row],[P1 + P4]:[P2 + P5]])</f>
        <v>47</v>
      </c>
      <c r="I8" s="16">
        <f>Tabla35[[#This Row],[P3 + P6]]</f>
        <v>0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YEAR(Tabla35[[#This Row],[Fecha final]])</f>
        <v>2020</v>
      </c>
    </row>
    <row r="9" spans="1:14">
      <c r="A9" s="17">
        <v>44067</v>
      </c>
      <c r="B9" s="17">
        <v>44096</v>
      </c>
      <c r="C9" s="16">
        <v>29</v>
      </c>
      <c r="D9" s="16" t="s">
        <v>42</v>
      </c>
      <c r="E9" s="16">
        <v>18</v>
      </c>
      <c r="F9" s="16">
        <v>25</v>
      </c>
      <c r="G9" s="16">
        <v>0</v>
      </c>
      <c r="H9" s="16">
        <f>SUM(Tabla35[[#This Row],[P1 + P4]:[P2 + P5]])</f>
        <v>43</v>
      </c>
      <c r="I9" s="16">
        <f>Tabla35[[#This Row],[P3 + P6]]</f>
        <v>0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YEAR(Tabla35[[#This Row],[Fecha final]])</f>
        <v>2020</v>
      </c>
    </row>
    <row r="10" spans="1:14">
      <c r="A10" s="17">
        <v>44096</v>
      </c>
      <c r="B10" s="17">
        <v>44129</v>
      </c>
      <c r="C10" s="16">
        <v>33</v>
      </c>
      <c r="D10" s="16" t="s">
        <v>42</v>
      </c>
      <c r="E10" s="16">
        <v>17</v>
      </c>
      <c r="F10" s="16">
        <v>25</v>
      </c>
      <c r="G10" s="16">
        <v>0</v>
      </c>
      <c r="H10" s="16">
        <f>SUM(Tabla35[[#This Row],[P1 + P4]:[P2 + P5]])</f>
        <v>42</v>
      </c>
      <c r="I10" s="16">
        <f>Tabla35[[#This Row],[P3 + P6]]</f>
        <v>0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YEAR(Tabla35[[#This Row],[Fecha final]])</f>
        <v>2020</v>
      </c>
    </row>
    <row r="11" spans="1:14">
      <c r="A11" s="17">
        <v>44129</v>
      </c>
      <c r="B11" s="17">
        <v>44159</v>
      </c>
      <c r="C11" s="16">
        <v>30</v>
      </c>
      <c r="D11" s="16" t="s">
        <v>42</v>
      </c>
      <c r="E11" s="16">
        <v>17</v>
      </c>
      <c r="F11" s="16">
        <v>23</v>
      </c>
      <c r="G11" s="16">
        <v>0</v>
      </c>
      <c r="H11" s="16">
        <f>SUM(Tabla35[[#This Row],[P1 + P4]:[P2 + P5]])</f>
        <v>40</v>
      </c>
      <c r="I11" s="16">
        <f>Tabla35[[#This Row],[P3 + P6]]</f>
        <v>0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YEAR(Tabla35[[#This Row],[Fecha final]])</f>
        <v>2020</v>
      </c>
    </row>
    <row r="12" spans="1:14">
      <c r="A12" s="17">
        <v>44159</v>
      </c>
      <c r="B12" s="17">
        <v>44193</v>
      </c>
      <c r="C12" s="16">
        <v>34</v>
      </c>
      <c r="D12" s="16" t="s">
        <v>42</v>
      </c>
      <c r="E12" s="16">
        <v>58</v>
      </c>
      <c r="F12" s="16">
        <v>70</v>
      </c>
      <c r="G12" s="16">
        <v>0</v>
      </c>
      <c r="H12" s="16">
        <f>SUM(Tabla35[[#This Row],[P1 + P4]:[P2 + P5]])</f>
        <v>128</v>
      </c>
      <c r="I12" s="16">
        <f>Tabla35[[#This Row],[P3 + P6]]</f>
        <v>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YEAR(Tabla35[[#This Row],[Fecha final]])</f>
        <v>2020</v>
      </c>
    </row>
    <row r="13" spans="1:14">
      <c r="A13" s="17">
        <v>44193</v>
      </c>
      <c r="B13" s="17">
        <v>44223</v>
      </c>
      <c r="C13" s="16">
        <v>30</v>
      </c>
      <c r="D13" s="16" t="s">
        <v>42</v>
      </c>
      <c r="E13" s="16">
        <v>235</v>
      </c>
      <c r="F13" s="16">
        <v>151</v>
      </c>
      <c r="G13" s="16">
        <v>0</v>
      </c>
      <c r="H13" s="16">
        <f>SUM(Tabla35[[#This Row],[P1 + P4]:[P2 + P5]])</f>
        <v>386</v>
      </c>
      <c r="I13" s="16">
        <f>Tabla35[[#This Row],[P3 + P6]]</f>
        <v>0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YEAR(Tabla35[[#This Row],[Fecha final]])</f>
        <v>2021</v>
      </c>
    </row>
    <row r="14" spans="1:14">
      <c r="A14" s="17">
        <v>44223</v>
      </c>
      <c r="B14" s="17">
        <v>44250</v>
      </c>
      <c r="C14" s="16">
        <v>27</v>
      </c>
      <c r="D14" s="16" t="s">
        <v>42</v>
      </c>
      <c r="E14" s="16">
        <v>211</v>
      </c>
      <c r="F14" s="16">
        <v>158</v>
      </c>
      <c r="G14" s="16">
        <v>0</v>
      </c>
      <c r="H14" s="16">
        <f>SUM(Tabla35[[#This Row],[P1 + P4]:[P2 + P5]])</f>
        <v>369</v>
      </c>
      <c r="I14" s="16">
        <f>Tabla35[[#This Row],[P3 + P6]]</f>
        <v>0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YEAR(Tabla35[[#This Row],[Fecha final]])</f>
        <v>2021</v>
      </c>
    </row>
    <row r="15" spans="1:14">
      <c r="A15" s="17">
        <v>44250</v>
      </c>
      <c r="B15" s="17">
        <v>44251</v>
      </c>
      <c r="C15" s="16">
        <v>1</v>
      </c>
      <c r="D15" s="16" t="s">
        <v>42</v>
      </c>
      <c r="E15" s="16">
        <v>12</v>
      </c>
      <c r="F15" s="16">
        <v>10</v>
      </c>
      <c r="G15" s="16">
        <v>0</v>
      </c>
      <c r="H15" s="16">
        <f>SUM(Tabla35[[#This Row],[P1 + P4]:[P2 + P5]])</f>
        <v>22</v>
      </c>
      <c r="I15" s="16">
        <f>Tabla35[[#This Row],[P3 + P6]]</f>
        <v>0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YEAR(Tabla35[[#This Row],[Fecha final]])</f>
        <v>2021</v>
      </c>
    </row>
    <row r="16" spans="1:14">
      <c r="A16" s="17">
        <v>44252</v>
      </c>
      <c r="B16" s="17">
        <v>44279</v>
      </c>
      <c r="C16" s="16">
        <v>27</v>
      </c>
      <c r="D16" s="16" t="s">
        <v>42</v>
      </c>
      <c r="E16" s="16">
        <v>367</v>
      </c>
      <c r="F16" s="16">
        <v>247</v>
      </c>
      <c r="G16" s="16">
        <v>0</v>
      </c>
      <c r="H16" s="16">
        <f>SUM(Tabla35[[#This Row],[P1 + P4]:[P2 + P5]])</f>
        <v>614</v>
      </c>
      <c r="I16" s="16">
        <f>Tabla35[[#This Row],[P3 + P6]]</f>
        <v>0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YEAR(Tabla35[[#This Row],[Fecha final]])</f>
        <v>2021</v>
      </c>
    </row>
    <row r="17" spans="1:14">
      <c r="A17" s="17">
        <v>44279</v>
      </c>
      <c r="B17" s="17">
        <v>44314</v>
      </c>
      <c r="C17" s="16">
        <v>35</v>
      </c>
      <c r="D17" s="16" t="s">
        <v>42</v>
      </c>
      <c r="E17" s="16">
        <v>331</v>
      </c>
      <c r="F17" s="16">
        <v>332</v>
      </c>
      <c r="G17" s="16">
        <v>0</v>
      </c>
      <c r="H17" s="16">
        <f>SUM(Tabla35[[#This Row],[P1 + P4]:[P2 + P5]])</f>
        <v>663</v>
      </c>
      <c r="I17" s="16">
        <f>Tabla35[[#This Row],[P3 + P6]]</f>
        <v>0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YEAR(Tabla35[[#This Row],[Fecha final]])</f>
        <v>2021</v>
      </c>
    </row>
    <row r="18" spans="1:14">
      <c r="A18" s="17">
        <v>44314</v>
      </c>
      <c r="B18" s="17">
        <v>44341</v>
      </c>
      <c r="C18" s="16">
        <v>27</v>
      </c>
      <c r="D18" s="16" t="s">
        <v>42</v>
      </c>
      <c r="E18" s="16">
        <v>224</v>
      </c>
      <c r="F18" s="16">
        <v>245</v>
      </c>
      <c r="G18" s="16">
        <v>0</v>
      </c>
      <c r="H18" s="16">
        <f>SUM(Tabla35[[#This Row],[P1 + P4]:[P2 + P5]])</f>
        <v>469</v>
      </c>
      <c r="I18" s="16">
        <f>Tabla35[[#This Row],[P3 + P6]]</f>
        <v>0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YEAR(Tabla35[[#This Row],[Fecha final]])</f>
        <v>2021</v>
      </c>
    </row>
    <row r="19" spans="1:14">
      <c r="A19" s="17">
        <v>44341</v>
      </c>
      <c r="B19" s="17">
        <v>44347</v>
      </c>
      <c r="C19" s="16">
        <v>6</v>
      </c>
      <c r="D19" s="16" t="s">
        <v>42</v>
      </c>
      <c r="E19" s="16">
        <v>49</v>
      </c>
      <c r="F19" s="16">
        <v>50</v>
      </c>
      <c r="G19" s="16">
        <v>0</v>
      </c>
      <c r="H19" s="16">
        <f>SUM(Tabla35[[#This Row],[P1 + P4]:[P2 + P5]])</f>
        <v>99</v>
      </c>
      <c r="I19" s="16">
        <f>Tabla35[[#This Row],[P3 + P6]]</f>
        <v>0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YEAR(Tabla35[[#This Row],[Fecha final]])</f>
        <v>2021</v>
      </c>
    </row>
    <row r="20" spans="1:14">
      <c r="A20" s="17">
        <v>44347</v>
      </c>
      <c r="B20" s="17">
        <v>44370</v>
      </c>
      <c r="C20" s="16">
        <v>23</v>
      </c>
      <c r="D20" s="16" t="s">
        <v>42</v>
      </c>
      <c r="E20" s="16">
        <v>223</v>
      </c>
      <c r="F20" s="16">
        <v>162</v>
      </c>
      <c r="G20" s="16">
        <v>84</v>
      </c>
      <c r="H20" s="16">
        <f>SUM(Tabla35[[#This Row],[P1 + P4]:[P2 + P5]])</f>
        <v>385</v>
      </c>
      <c r="I20" s="16">
        <f>Tabla35[[#This Row],[P3 + P6]]</f>
        <v>84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YEAR(Tabla35[[#This Row],[Fecha final]])</f>
        <v>2021</v>
      </c>
    </row>
    <row r="21" spans="1:14">
      <c r="A21" s="17">
        <v>44370</v>
      </c>
      <c r="B21" s="17">
        <v>44401</v>
      </c>
      <c r="C21" s="16">
        <v>31</v>
      </c>
      <c r="D21" s="16" t="s">
        <v>42</v>
      </c>
      <c r="E21" s="16">
        <v>318</v>
      </c>
      <c r="F21" s="16">
        <v>212</v>
      </c>
      <c r="G21" s="16">
        <v>166</v>
      </c>
      <c r="H21" s="16">
        <f>SUM(Tabla35[[#This Row],[P1 + P4]:[P2 + P5]])</f>
        <v>530</v>
      </c>
      <c r="I21" s="16">
        <f>Tabla35[[#This Row],[P3 + P6]]</f>
        <v>166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YEAR(Tabla35[[#This Row],[Fecha final]])</f>
        <v>2021</v>
      </c>
    </row>
    <row r="22" spans="1:14">
      <c r="A22" s="17">
        <v>44401</v>
      </c>
      <c r="B22" s="17">
        <v>44432</v>
      </c>
      <c r="C22" s="16">
        <v>31</v>
      </c>
      <c r="D22" s="16" t="s">
        <v>42</v>
      </c>
      <c r="E22" s="16">
        <v>367</v>
      </c>
      <c r="F22" s="16">
        <v>263</v>
      </c>
      <c r="G22" s="16">
        <v>177</v>
      </c>
      <c r="H22" s="16">
        <f>SUM(Tabla35[[#This Row],[P1 + P4]:[P2 + P5]])</f>
        <v>630</v>
      </c>
      <c r="I22" s="16">
        <f>Tabla35[[#This Row],[P3 + P6]]</f>
        <v>177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YEAR(Tabla35[[#This Row],[Fecha final]])</f>
        <v>2021</v>
      </c>
    </row>
    <row r="23" spans="1:14">
      <c r="A23" s="17">
        <v>44432</v>
      </c>
      <c r="B23" s="17">
        <v>44461</v>
      </c>
      <c r="C23" s="16">
        <v>29</v>
      </c>
      <c r="D23" s="16" t="s">
        <v>42</v>
      </c>
      <c r="E23" s="16">
        <v>377</v>
      </c>
      <c r="F23" s="16">
        <v>273</v>
      </c>
      <c r="G23" s="16">
        <v>150</v>
      </c>
      <c r="H23" s="16">
        <f>SUM(Tabla35[[#This Row],[P1 + P4]:[P2 + P5]])</f>
        <v>650</v>
      </c>
      <c r="I23" s="16">
        <f>Tabla35[[#This Row],[P3 + P6]]</f>
        <v>150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YEAR(Tabla35[[#This Row],[Fecha final]])</f>
        <v>2021</v>
      </c>
    </row>
    <row r="24" spans="1:14">
      <c r="A24" s="17">
        <v>44461</v>
      </c>
      <c r="B24" s="17">
        <v>44494</v>
      </c>
      <c r="C24" s="16">
        <v>33</v>
      </c>
      <c r="D24" s="16" t="s">
        <v>42</v>
      </c>
      <c r="E24" s="16">
        <v>157</v>
      </c>
      <c r="F24" s="16">
        <v>106</v>
      </c>
      <c r="G24" s="16">
        <v>97</v>
      </c>
      <c r="H24" s="16">
        <f>SUM(Tabla35[[#This Row],[P1 + P4]:[P2 + P5]])</f>
        <v>263</v>
      </c>
      <c r="I24" s="16">
        <f>Tabla35[[#This Row],[P3 + P6]]</f>
        <v>97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YEAR(Tabla35[[#This Row],[Fecha final]])</f>
        <v>2021</v>
      </c>
    </row>
    <row r="25" spans="1:14">
      <c r="A25" s="17">
        <v>44494</v>
      </c>
      <c r="B25" s="17">
        <v>44523</v>
      </c>
      <c r="C25" s="16">
        <v>29</v>
      </c>
      <c r="D25" s="16" t="s">
        <v>42</v>
      </c>
      <c r="E25" s="16">
        <v>110</v>
      </c>
      <c r="F25" s="16">
        <v>69</v>
      </c>
      <c r="G25" s="16">
        <v>71</v>
      </c>
      <c r="H25" s="16">
        <f>SUM(Tabla35[[#This Row],[P1 + P4]:[P2 + P5]])</f>
        <v>179</v>
      </c>
      <c r="I25" s="16">
        <f>Tabla35[[#This Row],[P3 + P6]]</f>
        <v>71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YEAR(Tabla35[[#This Row],[Fecha final]])</f>
        <v>2021</v>
      </c>
    </row>
    <row r="26" spans="1:14">
      <c r="A26" s="17">
        <v>44523</v>
      </c>
      <c r="B26" s="17">
        <v>44554</v>
      </c>
      <c r="C26" s="16">
        <v>31</v>
      </c>
      <c r="D26" s="16" t="s">
        <v>42</v>
      </c>
      <c r="E26" s="16">
        <v>105</v>
      </c>
      <c r="F26" s="16">
        <v>76</v>
      </c>
      <c r="G26" s="16">
        <v>83</v>
      </c>
      <c r="H26" s="16">
        <f>SUM(Tabla35[[#This Row],[P1 + P4]:[P2 + P5]])</f>
        <v>181</v>
      </c>
      <c r="I26" s="16">
        <f>Tabla35[[#This Row],[P3 + P6]]</f>
        <v>83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YEAR(Tabla35[[#This Row],[Fecha final]])</f>
        <v>2021</v>
      </c>
    </row>
    <row r="27" spans="1:14">
      <c r="A27" s="17">
        <v>44554</v>
      </c>
      <c r="B27" s="17">
        <v>44586</v>
      </c>
      <c r="C27" s="16">
        <v>32</v>
      </c>
      <c r="D27" s="16" t="s">
        <v>42</v>
      </c>
      <c r="E27" s="16">
        <v>126</v>
      </c>
      <c r="F27" s="16">
        <v>65</v>
      </c>
      <c r="G27" s="16">
        <v>80</v>
      </c>
      <c r="H27" s="16">
        <f>SUM(Tabla35[[#This Row],[P1 + P4]:[P2 + P5]])</f>
        <v>191</v>
      </c>
      <c r="I27" s="16">
        <f>Tabla35[[#This Row],[P3 + P6]]</f>
        <v>80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YEAR(Tabla35[[#This Row],[Fecha final]])</f>
        <v>2022</v>
      </c>
    </row>
    <row r="28" spans="1:14">
      <c r="A28" s="17">
        <v>44586</v>
      </c>
      <c r="B28" s="17">
        <v>44615</v>
      </c>
      <c r="C28" s="16">
        <v>29</v>
      </c>
      <c r="D28" s="16" t="s">
        <v>42</v>
      </c>
      <c r="E28" s="16">
        <v>125</v>
      </c>
      <c r="F28" s="16">
        <v>86</v>
      </c>
      <c r="G28" s="16">
        <v>87</v>
      </c>
      <c r="H28" s="16">
        <f>SUM(Tabla35[[#This Row],[P1 + P4]:[P2 + P5]])</f>
        <v>211</v>
      </c>
      <c r="I28" s="16">
        <f>Tabla35[[#This Row],[P3 + P6]]</f>
        <v>87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YEAR(Tabla35[[#This Row],[Fecha final]])</f>
        <v>2022</v>
      </c>
    </row>
    <row r="29" spans="1:14">
      <c r="A29" s="17">
        <v>44615</v>
      </c>
      <c r="B29" s="17">
        <v>44643</v>
      </c>
      <c r="C29" s="16">
        <v>28</v>
      </c>
      <c r="D29" s="16" t="s">
        <v>42</v>
      </c>
      <c r="E29" s="16">
        <v>111</v>
      </c>
      <c r="F29" s="16">
        <v>69</v>
      </c>
      <c r="G29" s="16">
        <v>75</v>
      </c>
      <c r="H29" s="16">
        <f>SUM(Tabla35[[#This Row],[P1 + P4]:[P2 + P5]])</f>
        <v>180</v>
      </c>
      <c r="I29" s="16">
        <f>Tabla35[[#This Row],[P3 + P6]]</f>
        <v>75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YEAR(Tabla35[[#This Row],[Fecha final]])</f>
        <v>2022</v>
      </c>
    </row>
    <row r="30" spans="1:14">
      <c r="A30" s="17">
        <v>44643</v>
      </c>
      <c r="B30" s="17">
        <v>44679</v>
      </c>
      <c r="C30" s="16">
        <v>36</v>
      </c>
      <c r="D30" s="16" t="s">
        <v>42</v>
      </c>
      <c r="E30" s="16">
        <v>119</v>
      </c>
      <c r="F30" s="16">
        <v>78</v>
      </c>
      <c r="G30" s="16">
        <v>82</v>
      </c>
      <c r="H30" s="16">
        <f>SUM(Tabla35[[#This Row],[P1 + P4]:[P2 + P5]])</f>
        <v>197</v>
      </c>
      <c r="I30" s="16">
        <f>Tabla35[[#This Row],[P3 + P6]]</f>
        <v>82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YEAR(Tabla35[[#This Row],[Fecha final]])</f>
        <v>2022</v>
      </c>
    </row>
    <row r="31" spans="1:14">
      <c r="A31" s="17">
        <v>44679</v>
      </c>
      <c r="B31" s="17">
        <v>44704</v>
      </c>
      <c r="C31" s="16">
        <v>25</v>
      </c>
      <c r="D31" s="16" t="s">
        <v>42</v>
      </c>
      <c r="E31" s="16">
        <v>88</v>
      </c>
      <c r="F31" s="16">
        <v>65</v>
      </c>
      <c r="G31" s="16">
        <v>77</v>
      </c>
      <c r="H31" s="16">
        <f>SUM(Tabla35[[#This Row],[P1 + P4]:[P2 + P5]])</f>
        <v>153</v>
      </c>
      <c r="I31" s="16">
        <f>Tabla35[[#This Row],[P3 + P6]]</f>
        <v>77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YEAR(Tabla35[[#This Row],[Fecha final]])</f>
        <v>2022</v>
      </c>
    </row>
    <row r="32" spans="1:14">
      <c r="A32" s="17">
        <v>44704</v>
      </c>
      <c r="B32" s="17">
        <v>44734</v>
      </c>
      <c r="C32" s="16">
        <v>30</v>
      </c>
      <c r="D32" s="16" t="s">
        <v>42</v>
      </c>
      <c r="E32" s="16">
        <v>122</v>
      </c>
      <c r="F32" s="16">
        <v>67</v>
      </c>
      <c r="G32" s="16">
        <v>68</v>
      </c>
      <c r="H32" s="16">
        <f>SUM(Tabla35[[#This Row],[P1 + P4]:[P2 + P5]])</f>
        <v>189</v>
      </c>
      <c r="I32" s="16">
        <f>Tabla35[[#This Row],[P3 + P6]]</f>
        <v>68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YEAR(Tabla35[[#This Row],[Fecha final]])</f>
        <v>2022</v>
      </c>
    </row>
    <row r="33" spans="1:14">
      <c r="A33" s="17">
        <v>44734</v>
      </c>
      <c r="B33" s="17">
        <v>44767</v>
      </c>
      <c r="C33" s="16">
        <v>33</v>
      </c>
      <c r="D33" s="16" t="s">
        <v>42</v>
      </c>
      <c r="E33" s="16">
        <v>146</v>
      </c>
      <c r="F33" s="16">
        <v>103</v>
      </c>
      <c r="G33" s="16">
        <v>143</v>
      </c>
      <c r="H33" s="16">
        <f>SUM(Tabla35[[#This Row],[P1 + P4]:[P2 + P5]])</f>
        <v>249</v>
      </c>
      <c r="I33" s="16">
        <f>Tabla35[[#This Row],[P3 + P6]]</f>
        <v>143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YEAR(Tabla35[[#This Row],[Fecha final]])</f>
        <v>2022</v>
      </c>
    </row>
    <row r="34" spans="1:14">
      <c r="A34" s="17">
        <v>44767</v>
      </c>
      <c r="B34" s="17">
        <v>44797</v>
      </c>
      <c r="C34" s="16">
        <v>30</v>
      </c>
      <c r="D34" s="16" t="s">
        <v>42</v>
      </c>
      <c r="E34" s="16">
        <v>163</v>
      </c>
      <c r="F34" s="16">
        <v>108</v>
      </c>
      <c r="G34" s="16">
        <v>122</v>
      </c>
      <c r="H34" s="16">
        <f>SUM(Tabla35[[#This Row],[P1 + P4]:[P2 + P5]])</f>
        <v>271</v>
      </c>
      <c r="I34" s="16">
        <f>Tabla35[[#This Row],[P3 + P6]]</f>
        <v>122</v>
      </c>
      <c r="J34" s="16" t="s">
        <v>156</v>
      </c>
      <c r="K34" s="16" t="s">
        <v>156</v>
      </c>
      <c r="L34" s="16" t="s">
        <v>156</v>
      </c>
      <c r="M34" s="16" t="s">
        <v>156</v>
      </c>
      <c r="N34" s="16">
        <f>YEAR(Tabla35[[#This Row],[Fecha final]])</f>
        <v>2022</v>
      </c>
    </row>
    <row r="35" spans="1:14">
      <c r="A35" s="17">
        <v>44797</v>
      </c>
      <c r="B35" s="17">
        <v>44828</v>
      </c>
      <c r="C35" s="16">
        <v>31</v>
      </c>
      <c r="D35" s="16" t="s">
        <v>42</v>
      </c>
      <c r="E35" s="16">
        <v>126</v>
      </c>
      <c r="F35" s="16">
        <v>87</v>
      </c>
      <c r="G35" s="16">
        <v>80</v>
      </c>
      <c r="H35" s="16">
        <f>SUM(Tabla35[[#This Row],[P1 + P4]:[P2 + P5]])</f>
        <v>213</v>
      </c>
      <c r="I35" s="16">
        <f>Tabla35[[#This Row],[P3 + P6]]</f>
        <v>80</v>
      </c>
      <c r="J35" s="16" t="s">
        <v>156</v>
      </c>
      <c r="K35" s="16" t="s">
        <v>156</v>
      </c>
      <c r="L35" s="16" t="s">
        <v>156</v>
      </c>
      <c r="M35" s="16" t="s">
        <v>156</v>
      </c>
      <c r="N35" s="16">
        <f>YEAR(Tabla35[[#This Row],[Fecha final]])</f>
        <v>2022</v>
      </c>
    </row>
    <row r="36" spans="1:14">
      <c r="A36" s="17">
        <v>44828</v>
      </c>
      <c r="B36" s="17">
        <v>44858</v>
      </c>
      <c r="C36" s="16">
        <v>30</v>
      </c>
      <c r="D36" s="16" t="s">
        <v>42</v>
      </c>
      <c r="E36" s="16">
        <v>104</v>
      </c>
      <c r="F36" s="16">
        <v>77</v>
      </c>
      <c r="G36" s="16">
        <v>98</v>
      </c>
      <c r="H36" s="16">
        <f>SUM(Tabla35[[#This Row],[P1 + P4]:[P2 + P5]])</f>
        <v>181</v>
      </c>
      <c r="I36" s="16">
        <f>Tabla35[[#This Row],[P3 + P6]]</f>
        <v>98</v>
      </c>
      <c r="J36" s="16" t="s">
        <v>156</v>
      </c>
      <c r="K36" s="16" t="s">
        <v>156</v>
      </c>
      <c r="L36" s="16" t="s">
        <v>156</v>
      </c>
      <c r="M36" s="16" t="s">
        <v>156</v>
      </c>
      <c r="N36" s="16">
        <f>YEAR(Tabla35[[#This Row],[Fecha final]])</f>
        <v>2022</v>
      </c>
    </row>
    <row r="37" spans="1:14">
      <c r="A37" s="17">
        <v>44858</v>
      </c>
      <c r="B37" s="17">
        <v>44888</v>
      </c>
      <c r="C37" s="16">
        <v>30</v>
      </c>
      <c r="D37" s="16" t="s">
        <v>42</v>
      </c>
      <c r="E37" s="16">
        <v>100</v>
      </c>
      <c r="F37" s="16">
        <v>81</v>
      </c>
      <c r="G37" s="16">
        <v>84</v>
      </c>
      <c r="H37" s="16">
        <f>SUM(Tabla35[[#This Row],[P1 + P4]:[P2 + P5]])</f>
        <v>181</v>
      </c>
      <c r="I37" s="16">
        <f>Tabla35[[#This Row],[P3 + P6]]</f>
        <v>84</v>
      </c>
      <c r="J37" s="16" t="s">
        <v>156</v>
      </c>
      <c r="K37" s="16" t="s">
        <v>156</v>
      </c>
      <c r="L37" s="16" t="s">
        <v>156</v>
      </c>
      <c r="M37" s="16" t="s">
        <v>156</v>
      </c>
      <c r="N37" s="16">
        <f>YEAR(Tabla35[[#This Row],[Fecha final]])</f>
        <v>2022</v>
      </c>
    </row>
    <row r="38" spans="1:14">
      <c r="A38" s="17">
        <v>44888</v>
      </c>
      <c r="B38" s="17">
        <v>44922</v>
      </c>
      <c r="C38" s="16">
        <v>34</v>
      </c>
      <c r="D38" s="16" t="s">
        <v>42</v>
      </c>
      <c r="E38" s="16">
        <v>79</v>
      </c>
      <c r="F38" s="16">
        <v>62</v>
      </c>
      <c r="G38" s="16">
        <v>95</v>
      </c>
      <c r="H38" s="16">
        <f>SUM(Tabla35[[#This Row],[P1 + P4]:[P2 + P5]])</f>
        <v>141</v>
      </c>
      <c r="I38" s="16">
        <f>Tabla35[[#This Row],[P3 + P6]]</f>
        <v>95</v>
      </c>
      <c r="J38" s="16" t="s">
        <v>156</v>
      </c>
      <c r="K38" s="16" t="s">
        <v>156</v>
      </c>
      <c r="L38" s="16" t="s">
        <v>156</v>
      </c>
      <c r="M38" s="16" t="s">
        <v>156</v>
      </c>
      <c r="N38" s="16">
        <f>YEAR(Tabla35[[#This Row],[Fecha final]])</f>
        <v>2022</v>
      </c>
    </row>
    <row r="39" spans="1:14">
      <c r="A39" s="17">
        <v>44922</v>
      </c>
      <c r="B39" s="17">
        <v>44950</v>
      </c>
      <c r="C39" s="16">
        <v>28</v>
      </c>
      <c r="D39" s="16" t="s">
        <v>42</v>
      </c>
      <c r="E39" s="16">
        <v>85</v>
      </c>
      <c r="F39" s="16">
        <v>68</v>
      </c>
      <c r="G39" s="16">
        <v>66</v>
      </c>
      <c r="H39" s="16">
        <f>SUM(Tabla35[[#This Row],[P1 + P4]:[P2 + P5]])</f>
        <v>153</v>
      </c>
      <c r="I39" s="16">
        <f>Tabla35[[#This Row],[P3 + P6]]</f>
        <v>66</v>
      </c>
      <c r="J39" s="16" t="s">
        <v>156</v>
      </c>
      <c r="K39" s="16" t="s">
        <v>156</v>
      </c>
      <c r="L39" s="16" t="s">
        <v>156</v>
      </c>
      <c r="M39" s="16" t="s">
        <v>156</v>
      </c>
      <c r="N39" s="16">
        <f>YEAR(Tabla35[[#This Row],[Fecha final]])</f>
        <v>2023</v>
      </c>
    </row>
    <row r="40" spans="1:14">
      <c r="A40" s="17">
        <v>44950</v>
      </c>
      <c r="B40" s="17">
        <v>44979</v>
      </c>
      <c r="C40" s="16">
        <v>29</v>
      </c>
      <c r="D40" s="16" t="s">
        <v>42</v>
      </c>
      <c r="E40" s="16">
        <v>136</v>
      </c>
      <c r="F40" s="16">
        <v>85</v>
      </c>
      <c r="G40" s="16">
        <v>66</v>
      </c>
      <c r="H40" s="16">
        <f>SUM(Tabla35[[#This Row],[P1 + P4]:[P2 + P5]])</f>
        <v>221</v>
      </c>
      <c r="I40" s="16">
        <f>Tabla35[[#This Row],[P3 + P6]]</f>
        <v>66</v>
      </c>
      <c r="J40" s="16" t="s">
        <v>156</v>
      </c>
      <c r="K40" s="16" t="s">
        <v>156</v>
      </c>
      <c r="L40" s="16" t="s">
        <v>156</v>
      </c>
      <c r="M40" s="16" t="s">
        <v>156</v>
      </c>
      <c r="N40" s="16">
        <f>YEAR(Tabla35[[#This Row],[Fecha final]])</f>
        <v>2023</v>
      </c>
    </row>
    <row r="41" spans="1:14">
      <c r="A41" s="17">
        <v>44979</v>
      </c>
      <c r="B41" s="17">
        <v>45010</v>
      </c>
      <c r="C41" s="16">
        <v>31</v>
      </c>
      <c r="D41" s="16" t="s">
        <v>42</v>
      </c>
      <c r="E41" s="16">
        <v>122</v>
      </c>
      <c r="F41" s="16">
        <v>77</v>
      </c>
      <c r="G41" s="16">
        <v>113</v>
      </c>
      <c r="H41" s="16">
        <f>SUM(Tabla35[[#This Row],[P1 + P4]:[P2 + P5]])</f>
        <v>199</v>
      </c>
      <c r="I41" s="16">
        <f>Tabla35[[#This Row],[P3 + P6]]</f>
        <v>113</v>
      </c>
      <c r="J41" s="16" t="s">
        <v>156</v>
      </c>
      <c r="K41" s="16" t="s">
        <v>156</v>
      </c>
      <c r="L41" s="16" t="s">
        <v>156</v>
      </c>
      <c r="M41" s="16" t="s">
        <v>156</v>
      </c>
      <c r="N41" s="16">
        <f>YEAR(Tabla35[[#This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459</v>
      </c>
      <c r="B47" s="16" t="s">
        <v>460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461</v>
      </c>
      <c r="B48" s="16" t="s">
        <v>459</v>
      </c>
      <c r="C48" s="16">
        <v>29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462</v>
      </c>
      <c r="B49" s="16" t="s">
        <v>461</v>
      </c>
      <c r="C49" s="16">
        <v>28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463</v>
      </c>
      <c r="B50" s="16" t="s">
        <v>462</v>
      </c>
      <c r="C50" s="16">
        <v>34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464</v>
      </c>
      <c r="B51" s="16" t="s">
        <v>463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465</v>
      </c>
      <c r="B52" s="16" t="s">
        <v>464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236</v>
      </c>
      <c r="B53" s="16" t="s">
        <v>465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466</v>
      </c>
      <c r="B54" s="16" t="s">
        <v>236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467</v>
      </c>
      <c r="B55" s="16" t="s">
        <v>466</v>
      </c>
      <c r="C55" s="16">
        <v>33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239</v>
      </c>
      <c r="B56" s="16" t="s">
        <v>467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468</v>
      </c>
      <c r="B57" s="16" t="s">
        <v>239</v>
      </c>
      <c r="C57" s="16">
        <v>25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469</v>
      </c>
      <c r="B58" s="16" t="s">
        <v>468</v>
      </c>
      <c r="C58" s="16">
        <v>36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470</v>
      </c>
      <c r="B59" s="16" t="s">
        <v>469</v>
      </c>
      <c r="C59" s="16">
        <v>28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243</v>
      </c>
      <c r="B60" s="16" t="s">
        <v>470</v>
      </c>
      <c r="C60" s="16">
        <v>29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471</v>
      </c>
      <c r="B61" s="16" t="s">
        <v>243</v>
      </c>
      <c r="C61" s="16">
        <v>32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116</v>
      </c>
      <c r="B62" s="16" t="s">
        <v>471</v>
      </c>
      <c r="C62" s="16">
        <v>31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117</v>
      </c>
      <c r="B63" s="16" t="s">
        <v>116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118</v>
      </c>
      <c r="B64" s="16" t="s">
        <v>117</v>
      </c>
      <c r="C64" s="16">
        <v>33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248</v>
      </c>
      <c r="B65" s="16" t="s">
        <v>118</v>
      </c>
      <c r="C65" s="16">
        <v>29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472</v>
      </c>
      <c r="B66" s="16" t="s">
        <v>248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404</v>
      </c>
      <c r="B67" s="16" t="s">
        <v>472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51</v>
      </c>
      <c r="B68" s="16" t="s">
        <v>404</v>
      </c>
      <c r="C68" s="16">
        <v>23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122</v>
      </c>
      <c r="B69" s="16" t="s">
        <v>51</v>
      </c>
      <c r="C69" s="16">
        <v>6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49</v>
      </c>
      <c r="B70" s="16" t="s">
        <v>122</v>
      </c>
      <c r="C70" s="16">
        <v>27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473</v>
      </c>
      <c r="B71" s="16" t="s">
        <v>49</v>
      </c>
      <c r="C71" s="16">
        <v>35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474</v>
      </c>
      <c r="B72" s="16" t="s">
        <v>473</v>
      </c>
      <c r="C72" s="16">
        <v>27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125</v>
      </c>
      <c r="B73" s="16" t="s">
        <v>252</v>
      </c>
      <c r="C73" s="16">
        <v>1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126</v>
      </c>
      <c r="B74" s="16" t="s">
        <v>125</v>
      </c>
      <c r="C74" s="16">
        <v>27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475</v>
      </c>
      <c r="B75" s="16" t="s">
        <v>126</v>
      </c>
      <c r="C75" s="16">
        <v>30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128</v>
      </c>
      <c r="B76" s="16" t="s">
        <v>475</v>
      </c>
      <c r="C76" s="16">
        <v>34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457</v>
      </c>
      <c r="B77" s="16" t="s">
        <v>128</v>
      </c>
      <c r="C77" s="16">
        <v>30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427</v>
      </c>
      <c r="B78" s="16" t="s">
        <v>457</v>
      </c>
      <c r="C78" s="16">
        <v>33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131</v>
      </c>
      <c r="B79" s="16" t="s">
        <v>427</v>
      </c>
      <c r="C79" s="16">
        <v>29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387</v>
      </c>
      <c r="B80" s="16" t="s">
        <v>131</v>
      </c>
      <c r="C80" s="16">
        <v>32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285</v>
      </c>
      <c r="B81" s="16" t="s">
        <v>387</v>
      </c>
      <c r="C81" s="16">
        <v>30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5.6</v>
      </c>
      <c r="C87" s="16">
        <v>5.6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459</v>
      </c>
      <c r="B89" s="16" t="s">
        <v>460</v>
      </c>
      <c r="C89" s="16">
        <v>31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461</v>
      </c>
      <c r="B90" s="16" t="s">
        <v>459</v>
      </c>
      <c r="C90" s="16">
        <v>29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462</v>
      </c>
      <c r="B91" s="16" t="s">
        <v>461</v>
      </c>
      <c r="C91" s="16">
        <v>28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463</v>
      </c>
      <c r="B92" s="16" t="s">
        <v>462</v>
      </c>
      <c r="C92" s="16">
        <v>34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464</v>
      </c>
      <c r="B93" s="16" t="s">
        <v>463</v>
      </c>
      <c r="C93" s="16">
        <v>30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465</v>
      </c>
      <c r="B94" s="16" t="s">
        <v>464</v>
      </c>
      <c r="C94" s="16">
        <v>30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236</v>
      </c>
      <c r="B95" s="16" t="s">
        <v>465</v>
      </c>
      <c r="C95" s="16">
        <v>31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466</v>
      </c>
      <c r="B96" s="16" t="s">
        <v>236</v>
      </c>
      <c r="C96" s="16">
        <v>30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467</v>
      </c>
      <c r="B97" s="16" t="s">
        <v>466</v>
      </c>
      <c r="C97" s="16">
        <v>33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239</v>
      </c>
      <c r="B98" s="16" t="s">
        <v>467</v>
      </c>
      <c r="C98" s="16">
        <v>30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468</v>
      </c>
      <c r="B99" s="16" t="s">
        <v>239</v>
      </c>
      <c r="C99" s="16">
        <v>25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469</v>
      </c>
      <c r="B100" s="16" t="s">
        <v>468</v>
      </c>
      <c r="C100" s="16">
        <v>36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470</v>
      </c>
      <c r="B101" s="16" t="s">
        <v>469</v>
      </c>
      <c r="C101" s="16">
        <v>28</v>
      </c>
      <c r="D101" s="16" t="s">
        <v>42</v>
      </c>
      <c r="E101" s="16">
        <v>5.6</v>
      </c>
      <c r="F101" s="16">
        <v>5.6</v>
      </c>
      <c r="G101" s="16">
        <v>0</v>
      </c>
    </row>
    <row r="102" spans="1:7">
      <c r="A102" s="16" t="s">
        <v>243</v>
      </c>
      <c r="B102" s="16" t="s">
        <v>470</v>
      </c>
      <c r="C102" s="16">
        <v>29</v>
      </c>
      <c r="D102" s="16" t="s">
        <v>42</v>
      </c>
      <c r="E102" s="16">
        <v>5.6</v>
      </c>
      <c r="F102" s="16">
        <v>5.6</v>
      </c>
      <c r="G102" s="16">
        <v>0</v>
      </c>
    </row>
    <row r="103" spans="1:7">
      <c r="A103" s="16" t="s">
        <v>471</v>
      </c>
      <c r="B103" s="16" t="s">
        <v>243</v>
      </c>
      <c r="C103" s="16">
        <v>32</v>
      </c>
      <c r="D103" s="16" t="s">
        <v>42</v>
      </c>
      <c r="E103" s="16">
        <v>5.6</v>
      </c>
      <c r="F103" s="16">
        <v>5.6</v>
      </c>
      <c r="G103" s="16">
        <v>0</v>
      </c>
    </row>
    <row r="104" spans="1:7">
      <c r="A104" s="16" t="s">
        <v>116</v>
      </c>
      <c r="B104" s="16" t="s">
        <v>471</v>
      </c>
      <c r="C104" s="16">
        <v>31</v>
      </c>
      <c r="D104" s="16" t="s">
        <v>42</v>
      </c>
      <c r="E104" s="16">
        <v>5.6</v>
      </c>
      <c r="F104" s="16">
        <v>5.6</v>
      </c>
      <c r="G104" s="16">
        <v>0</v>
      </c>
    </row>
    <row r="105" spans="1:7">
      <c r="A105" s="16" t="s">
        <v>117</v>
      </c>
      <c r="B105" s="16" t="s">
        <v>116</v>
      </c>
      <c r="C105" s="16">
        <v>29</v>
      </c>
      <c r="D105" s="16" t="s">
        <v>42</v>
      </c>
      <c r="E105" s="16">
        <v>5.6</v>
      </c>
      <c r="F105" s="16">
        <v>5.6</v>
      </c>
      <c r="G105" s="16">
        <v>0</v>
      </c>
    </row>
    <row r="106" spans="1:7">
      <c r="A106" s="16" t="s">
        <v>118</v>
      </c>
      <c r="B106" s="16" t="s">
        <v>117</v>
      </c>
      <c r="C106" s="16">
        <v>33</v>
      </c>
      <c r="D106" s="16" t="s">
        <v>42</v>
      </c>
      <c r="E106" s="16">
        <v>5.6</v>
      </c>
      <c r="F106" s="16">
        <v>5.6</v>
      </c>
      <c r="G106" s="16">
        <v>0</v>
      </c>
    </row>
    <row r="107" spans="1:7">
      <c r="A107" s="16" t="s">
        <v>248</v>
      </c>
      <c r="B107" s="16" t="s">
        <v>118</v>
      </c>
      <c r="C107" s="16">
        <v>29</v>
      </c>
      <c r="D107" s="16" t="s">
        <v>42</v>
      </c>
      <c r="E107" s="16">
        <v>5.6</v>
      </c>
      <c r="F107" s="16">
        <v>5.6</v>
      </c>
      <c r="G107" s="16">
        <v>0</v>
      </c>
    </row>
    <row r="108" spans="1:7">
      <c r="A108" s="16" t="s">
        <v>472</v>
      </c>
      <c r="B108" s="16" t="s">
        <v>248</v>
      </c>
      <c r="C108" s="16">
        <v>31</v>
      </c>
      <c r="D108" s="16" t="s">
        <v>42</v>
      </c>
      <c r="E108" s="16">
        <v>5.6</v>
      </c>
      <c r="F108" s="16">
        <v>5.6</v>
      </c>
      <c r="G108" s="16">
        <v>0</v>
      </c>
    </row>
    <row r="109" spans="1:7">
      <c r="A109" s="16" t="s">
        <v>404</v>
      </c>
      <c r="B109" s="16" t="s">
        <v>472</v>
      </c>
      <c r="C109" s="16">
        <v>31</v>
      </c>
      <c r="D109" s="16" t="s">
        <v>42</v>
      </c>
      <c r="E109" s="16">
        <v>5.6</v>
      </c>
      <c r="F109" s="16">
        <v>5.6</v>
      </c>
      <c r="G109" s="16">
        <v>0</v>
      </c>
    </row>
    <row r="110" spans="1:7">
      <c r="A110" s="16" t="s">
        <v>51</v>
      </c>
      <c r="B110" s="16" t="s">
        <v>404</v>
      </c>
      <c r="C110" s="16">
        <v>23</v>
      </c>
      <c r="D110" s="16" t="s">
        <v>42</v>
      </c>
      <c r="E110" s="16">
        <v>5.6</v>
      </c>
      <c r="F110" s="16">
        <v>5.6</v>
      </c>
      <c r="G110" s="16">
        <v>0</v>
      </c>
    </row>
    <row r="111" spans="1:7">
      <c r="A111" s="16" t="s">
        <v>122</v>
      </c>
      <c r="B111" s="16" t="s">
        <v>51</v>
      </c>
      <c r="C111" s="16">
        <v>6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49</v>
      </c>
      <c r="B112" s="16" t="s">
        <v>122</v>
      </c>
      <c r="C112" s="16">
        <v>27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473</v>
      </c>
      <c r="B113" s="16" t="s">
        <v>49</v>
      </c>
      <c r="C113" s="16">
        <v>35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474</v>
      </c>
      <c r="B114" s="16" t="s">
        <v>473</v>
      </c>
      <c r="C114" s="16">
        <v>27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125</v>
      </c>
      <c r="B115" s="16" t="s">
        <v>252</v>
      </c>
      <c r="C115" s="16">
        <v>1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126</v>
      </c>
      <c r="B116" s="16" t="s">
        <v>125</v>
      </c>
      <c r="C116" s="16">
        <v>27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475</v>
      </c>
      <c r="B117" s="16" t="s">
        <v>126</v>
      </c>
      <c r="C117" s="16">
        <v>30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128</v>
      </c>
      <c r="B118" s="16" t="s">
        <v>475</v>
      </c>
      <c r="C118" s="16">
        <v>34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457</v>
      </c>
      <c r="B119" s="16" t="s">
        <v>128</v>
      </c>
      <c r="C119" s="16">
        <v>30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427</v>
      </c>
      <c r="B120" s="16" t="s">
        <v>457</v>
      </c>
      <c r="C120" s="16">
        <v>33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131</v>
      </c>
      <c r="B121" s="16" t="s">
        <v>427</v>
      </c>
      <c r="C121" s="16">
        <v>29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387</v>
      </c>
      <c r="B122" s="16" t="s">
        <v>131</v>
      </c>
      <c r="C122" s="16">
        <v>32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285</v>
      </c>
      <c r="B123" s="16" t="s">
        <v>387</v>
      </c>
      <c r="C123" s="16">
        <v>30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1C33-F217-4E92-A9B0-E67498FA98C3}">
  <dimension ref="A1:N105"/>
  <sheetViews>
    <sheetView topLeftCell="A10" workbookViewId="0">
      <selection activeCell="E18" sqref="E18:E29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476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1743</v>
      </c>
      <c r="C4" s="16">
        <v>2154</v>
      </c>
      <c r="D4" s="16">
        <v>2629</v>
      </c>
    </row>
    <row r="5" spans="1:14">
      <c r="A5" s="16" t="s">
        <v>36</v>
      </c>
      <c r="B5" s="16">
        <v>27</v>
      </c>
      <c r="C5" s="16">
        <v>33</v>
      </c>
      <c r="D5" s="16">
        <v>41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44227</v>
      </c>
      <c r="B7" s="17">
        <v>44255</v>
      </c>
      <c r="C7" s="16">
        <v>28</v>
      </c>
      <c r="D7" s="16" t="s">
        <v>42</v>
      </c>
      <c r="E7" s="16">
        <v>149</v>
      </c>
      <c r="F7" s="16">
        <v>1051</v>
      </c>
      <c r="G7" s="16">
        <v>267</v>
      </c>
      <c r="H7" s="16">
        <f>SUM(Tabla36[[#This Row],[P1 + P4]:[P2 + P5]])</f>
        <v>1200</v>
      </c>
      <c r="I7" s="16">
        <f>Tabla36[[#This Row],[P3 + P6]]</f>
        <v>267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YEAR(Tabla36[[#This Row],[Fecha final]])</f>
        <v>2021</v>
      </c>
    </row>
    <row r="8" spans="1:14">
      <c r="A8" s="17">
        <v>44255</v>
      </c>
      <c r="B8" s="17">
        <v>44293</v>
      </c>
      <c r="C8" s="16">
        <v>38</v>
      </c>
      <c r="D8" s="16" t="s">
        <v>42</v>
      </c>
      <c r="E8" s="16">
        <v>174</v>
      </c>
      <c r="F8" s="16">
        <v>1085</v>
      </c>
      <c r="G8" s="16">
        <v>278</v>
      </c>
      <c r="H8" s="16">
        <f>SUM(Tabla36[[#This Row],[P1 + P4]:[P2 + P5]])</f>
        <v>1259</v>
      </c>
      <c r="I8" s="16">
        <f>Tabla36[[#This Row],[P3 + P6]]</f>
        <v>278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YEAR(Tabla36[[#This Row],[Fecha final]])</f>
        <v>2021</v>
      </c>
    </row>
    <row r="9" spans="1:14">
      <c r="A9" s="17">
        <v>44293</v>
      </c>
      <c r="B9" s="17">
        <v>44316</v>
      </c>
      <c r="C9" s="16">
        <v>23</v>
      </c>
      <c r="D9" s="16" t="s">
        <v>42</v>
      </c>
      <c r="E9" s="16">
        <v>330</v>
      </c>
      <c r="F9" s="16">
        <v>763</v>
      </c>
      <c r="G9" s="16">
        <v>201</v>
      </c>
      <c r="H9" s="16">
        <f>SUM(Tabla36[[#This Row],[P1 + P4]:[P2 + P5]])</f>
        <v>1093</v>
      </c>
      <c r="I9" s="16">
        <f>Tabla36[[#This Row],[P3 + P6]]</f>
        <v>201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YEAR(Tabla36[[#This Row],[Fecha final]])</f>
        <v>2021</v>
      </c>
    </row>
    <row r="10" spans="1:14">
      <c r="A10" s="17">
        <v>44316</v>
      </c>
      <c r="B10" s="17">
        <v>44347</v>
      </c>
      <c r="C10" s="16">
        <v>31</v>
      </c>
      <c r="D10" s="16" t="s">
        <v>42</v>
      </c>
      <c r="E10" s="16">
        <v>225</v>
      </c>
      <c r="F10" s="16">
        <v>550</v>
      </c>
      <c r="G10" s="16">
        <v>171</v>
      </c>
      <c r="H10" s="16">
        <f>SUM(Tabla36[[#This Row],[P1 + P4]:[P2 + P5]])</f>
        <v>775</v>
      </c>
      <c r="I10" s="16">
        <f>Tabla36[[#This Row],[P3 + P6]]</f>
        <v>171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YEAR(Tabla36[[#This Row],[Fecha final]])</f>
        <v>2021</v>
      </c>
    </row>
    <row r="11" spans="1:14">
      <c r="A11" s="17">
        <v>44347</v>
      </c>
      <c r="B11" s="17">
        <v>44377</v>
      </c>
      <c r="C11" s="16">
        <v>30</v>
      </c>
      <c r="D11" s="16" t="s">
        <v>42</v>
      </c>
      <c r="E11" s="16">
        <v>293</v>
      </c>
      <c r="F11" s="16">
        <v>0</v>
      </c>
      <c r="G11" s="16">
        <v>743</v>
      </c>
      <c r="H11" s="16">
        <f>SUM(Tabla36[[#This Row],[P1 + P4]:[P2 + P5]])</f>
        <v>293</v>
      </c>
      <c r="I11" s="16">
        <f>Tabla36[[#This Row],[P3 + P6]]</f>
        <v>743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YEAR(Tabla36[[#This Row],[Fecha final]])</f>
        <v>2021</v>
      </c>
    </row>
    <row r="12" spans="1:14">
      <c r="A12" s="17">
        <v>44377</v>
      </c>
      <c r="B12" s="17">
        <v>44408</v>
      </c>
      <c r="C12" s="16">
        <v>31</v>
      </c>
      <c r="D12" s="16" t="s">
        <v>42</v>
      </c>
      <c r="E12" s="16">
        <v>666</v>
      </c>
      <c r="F12" s="16">
        <v>420</v>
      </c>
      <c r="G12" s="16">
        <v>240</v>
      </c>
      <c r="H12" s="16">
        <f>SUM(Tabla36[[#This Row],[P1 + P4]:[P2 + P5]])</f>
        <v>1086</v>
      </c>
      <c r="I12" s="16">
        <f>Tabla36[[#This Row],[P3 + P6]]</f>
        <v>240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YEAR(Tabla36[[#This Row],[Fecha final]])</f>
        <v>2021</v>
      </c>
    </row>
    <row r="13" spans="1:14">
      <c r="A13" s="17">
        <v>44408</v>
      </c>
      <c r="B13" s="17">
        <v>44439</v>
      </c>
      <c r="C13" s="16">
        <v>31</v>
      </c>
      <c r="D13" s="16" t="s">
        <v>42</v>
      </c>
      <c r="E13" s="16">
        <v>294</v>
      </c>
      <c r="F13" s="16">
        <v>0</v>
      </c>
      <c r="G13" s="16">
        <v>694</v>
      </c>
      <c r="H13" s="16">
        <f>SUM(Tabla36[[#This Row],[P1 + P4]:[P2 + P5]])</f>
        <v>294</v>
      </c>
      <c r="I13" s="16">
        <f>Tabla36[[#This Row],[P3 + P6]]</f>
        <v>694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YEAR(Tabla36[[#This Row],[Fecha final]])</f>
        <v>2021</v>
      </c>
    </row>
    <row r="14" spans="1:14">
      <c r="A14" s="17">
        <v>44439</v>
      </c>
      <c r="B14" s="17">
        <v>44469</v>
      </c>
      <c r="C14" s="16">
        <v>30</v>
      </c>
      <c r="D14" s="16" t="s">
        <v>42</v>
      </c>
      <c r="E14" s="16">
        <v>279</v>
      </c>
      <c r="F14" s="16">
        <v>0</v>
      </c>
      <c r="G14" s="16">
        <v>671</v>
      </c>
      <c r="H14" s="16">
        <f>SUM(Tabla36[[#This Row],[P1 + P4]:[P2 + P5]])</f>
        <v>279</v>
      </c>
      <c r="I14" s="16">
        <f>Tabla36[[#This Row],[P3 + P6]]</f>
        <v>671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YEAR(Tabla36[[#This Row],[Fecha final]])</f>
        <v>2021</v>
      </c>
    </row>
    <row r="15" spans="1:14">
      <c r="A15" s="17">
        <v>44469</v>
      </c>
      <c r="B15" s="17">
        <v>44500</v>
      </c>
      <c r="C15" s="16">
        <v>31</v>
      </c>
      <c r="D15" s="16" t="s">
        <v>42</v>
      </c>
      <c r="E15" s="16">
        <v>332</v>
      </c>
      <c r="F15" s="16">
        <v>212</v>
      </c>
      <c r="G15" s="16">
        <v>189</v>
      </c>
      <c r="H15" s="16">
        <f>SUM(Tabla36[[#This Row],[P1 + P4]:[P2 + P5]])</f>
        <v>544</v>
      </c>
      <c r="I15" s="16">
        <f>Tabla36[[#This Row],[P3 + P6]]</f>
        <v>189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YEAR(Tabla36[[#This Row],[Fecha final]])</f>
        <v>2021</v>
      </c>
    </row>
    <row r="16" spans="1:14">
      <c r="A16" s="17">
        <v>44500</v>
      </c>
      <c r="B16" s="17">
        <v>44530</v>
      </c>
      <c r="C16" s="16">
        <v>30</v>
      </c>
      <c r="D16" s="16" t="s">
        <v>42</v>
      </c>
      <c r="E16" s="16">
        <v>0</v>
      </c>
      <c r="F16" s="16">
        <v>15</v>
      </c>
      <c r="G16" s="16">
        <v>43</v>
      </c>
      <c r="H16" s="16">
        <f>SUM(Tabla36[[#This Row],[P1 + P4]:[P2 + P5]])</f>
        <v>15</v>
      </c>
      <c r="I16" s="16">
        <f>Tabla36[[#This Row],[P3 + P6]]</f>
        <v>43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YEAR(Tabla36[[#This Row],[Fecha final]])</f>
        <v>2021</v>
      </c>
    </row>
    <row r="17" spans="1:14">
      <c r="A17" s="17">
        <v>44530</v>
      </c>
      <c r="B17" s="17">
        <v>44561</v>
      </c>
      <c r="C17" s="16">
        <v>31</v>
      </c>
      <c r="D17" s="16" t="s">
        <v>42</v>
      </c>
      <c r="E17" s="16">
        <v>18</v>
      </c>
      <c r="F17" s="16">
        <v>11</v>
      </c>
      <c r="G17" s="16">
        <v>33</v>
      </c>
      <c r="H17" s="16">
        <f>SUM(Tabla36[[#This Row],[P1 + P4]:[P2 + P5]])</f>
        <v>29</v>
      </c>
      <c r="I17" s="16">
        <f>Tabla36[[#This Row],[P3 + P6]]</f>
        <v>33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YEAR(Tabla36[[#This Row],[Fecha final]])</f>
        <v>2021</v>
      </c>
    </row>
    <row r="18" spans="1:14">
      <c r="A18" s="17">
        <v>44561</v>
      </c>
      <c r="B18" s="17">
        <v>44592</v>
      </c>
      <c r="C18" s="16">
        <v>31</v>
      </c>
      <c r="D18" s="16" t="s">
        <v>42</v>
      </c>
      <c r="E18" s="16">
        <v>15</v>
      </c>
      <c r="F18" s="16">
        <v>12</v>
      </c>
      <c r="G18" s="16">
        <v>34</v>
      </c>
      <c r="H18" s="16">
        <f>SUM(Tabla36[[#This Row],[P1 + P4]:[P2 + P5]])</f>
        <v>27</v>
      </c>
      <c r="I18" s="16">
        <f>Tabla36[[#This Row],[P3 + P6]]</f>
        <v>34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YEAR(Tabla36[[#This Row],[Fecha final]])</f>
        <v>2022</v>
      </c>
    </row>
    <row r="19" spans="1:14">
      <c r="A19" s="17">
        <v>44592</v>
      </c>
      <c r="B19" s="17">
        <v>44620</v>
      </c>
      <c r="C19" s="16">
        <v>28</v>
      </c>
      <c r="D19" s="16" t="s">
        <v>42</v>
      </c>
      <c r="E19" s="16">
        <v>15</v>
      </c>
      <c r="F19" s="16">
        <v>11</v>
      </c>
      <c r="G19" s="16">
        <v>29</v>
      </c>
      <c r="H19" s="16">
        <f>SUM(Tabla36[[#This Row],[P1 + P4]:[P2 + P5]])</f>
        <v>26</v>
      </c>
      <c r="I19" s="16">
        <f>Tabla36[[#This Row],[P3 + P6]]</f>
        <v>29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YEAR(Tabla36[[#This Row],[Fecha final]])</f>
        <v>2022</v>
      </c>
    </row>
    <row r="20" spans="1:14">
      <c r="A20" s="17">
        <v>44620</v>
      </c>
      <c r="B20" s="17">
        <v>44651</v>
      </c>
      <c r="C20" s="16">
        <v>31</v>
      </c>
      <c r="D20" s="16" t="s">
        <v>42</v>
      </c>
      <c r="E20" s="16">
        <v>0</v>
      </c>
      <c r="F20" s="16">
        <v>56</v>
      </c>
      <c r="G20" s="16">
        <v>84</v>
      </c>
      <c r="H20" s="16">
        <f>SUM(Tabla36[[#This Row],[P1 + P4]:[P2 + P5]])</f>
        <v>56</v>
      </c>
      <c r="I20" s="16">
        <f>Tabla36[[#This Row],[P3 + P6]]</f>
        <v>84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YEAR(Tabla36[[#This Row],[Fecha final]])</f>
        <v>2022</v>
      </c>
    </row>
    <row r="21" spans="1:14">
      <c r="A21" s="17">
        <v>44651</v>
      </c>
      <c r="B21" s="17">
        <v>44681</v>
      </c>
      <c r="C21" s="16">
        <v>30</v>
      </c>
      <c r="D21" s="16" t="s">
        <v>42</v>
      </c>
      <c r="E21" s="16">
        <v>24</v>
      </c>
      <c r="F21" s="16">
        <v>16</v>
      </c>
      <c r="G21" s="16">
        <v>43</v>
      </c>
      <c r="H21" s="16">
        <f>SUM(Tabla36[[#This Row],[P1 + P4]:[P2 + P5]])</f>
        <v>40</v>
      </c>
      <c r="I21" s="16">
        <f>Tabla36[[#This Row],[P3 + P6]]</f>
        <v>43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YEAR(Tabla36[[#This Row],[Fecha final]])</f>
        <v>2022</v>
      </c>
    </row>
    <row r="22" spans="1:14">
      <c r="A22" s="17">
        <v>44681</v>
      </c>
      <c r="B22" s="17">
        <v>44712</v>
      </c>
      <c r="C22" s="16">
        <v>31</v>
      </c>
      <c r="D22" s="16" t="s">
        <v>42</v>
      </c>
      <c r="E22" s="16">
        <v>16</v>
      </c>
      <c r="F22" s="16">
        <v>12</v>
      </c>
      <c r="G22" s="16">
        <v>31</v>
      </c>
      <c r="H22" s="16">
        <f>SUM(Tabla36[[#This Row],[P1 + P4]:[P2 + P5]])</f>
        <v>28</v>
      </c>
      <c r="I22" s="16">
        <f>Tabla36[[#This Row],[P3 + P6]]</f>
        <v>31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YEAR(Tabla36[[#This Row],[Fecha final]])</f>
        <v>2022</v>
      </c>
    </row>
    <row r="23" spans="1:14">
      <c r="A23" s="17">
        <v>44712</v>
      </c>
      <c r="B23" s="17">
        <v>44742</v>
      </c>
      <c r="C23" s="16">
        <v>30</v>
      </c>
      <c r="D23" s="16" t="s">
        <v>42</v>
      </c>
      <c r="E23" s="16">
        <v>14</v>
      </c>
      <c r="F23" s="16">
        <v>0</v>
      </c>
      <c r="G23" s="16">
        <v>54</v>
      </c>
      <c r="H23" s="16">
        <f>SUM(Tabla36[[#This Row],[P1 + P4]:[P2 + P5]])</f>
        <v>14</v>
      </c>
      <c r="I23" s="16">
        <f>Tabla36[[#This Row],[P3 + P6]]</f>
        <v>54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YEAR(Tabla36[[#This Row],[Fecha final]])</f>
        <v>2022</v>
      </c>
    </row>
    <row r="24" spans="1:14">
      <c r="A24" s="17">
        <v>44742</v>
      </c>
      <c r="B24" s="17">
        <v>44773</v>
      </c>
      <c r="C24" s="16">
        <v>31</v>
      </c>
      <c r="D24" s="16" t="s">
        <v>42</v>
      </c>
      <c r="E24" s="16">
        <v>43</v>
      </c>
      <c r="F24" s="16">
        <v>19</v>
      </c>
      <c r="G24" s="16">
        <v>22</v>
      </c>
      <c r="H24" s="16">
        <f>SUM(Tabla36[[#This Row],[P1 + P4]:[P2 + P5]])</f>
        <v>62</v>
      </c>
      <c r="I24" s="16">
        <f>Tabla36[[#This Row],[P3 + P6]]</f>
        <v>22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YEAR(Tabla36[[#This Row],[Fecha final]])</f>
        <v>2022</v>
      </c>
    </row>
    <row r="25" spans="1:14">
      <c r="A25" s="17">
        <v>44773</v>
      </c>
      <c r="B25" s="17">
        <v>44804</v>
      </c>
      <c r="C25" s="16">
        <v>31</v>
      </c>
      <c r="D25" s="16" t="s">
        <v>42</v>
      </c>
      <c r="E25" s="16">
        <v>31</v>
      </c>
      <c r="F25" s="16">
        <v>0</v>
      </c>
      <c r="G25" s="16">
        <v>213</v>
      </c>
      <c r="H25" s="16">
        <f>SUM(Tabla36[[#This Row],[P1 + P4]:[P2 + P5]])</f>
        <v>31</v>
      </c>
      <c r="I25" s="16">
        <f>Tabla36[[#This Row],[P3 + P6]]</f>
        <v>213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YEAR(Tabla36[[#This Row],[Fecha final]])</f>
        <v>2022</v>
      </c>
    </row>
    <row r="26" spans="1:14">
      <c r="A26" s="17">
        <v>44804</v>
      </c>
      <c r="B26" s="17">
        <v>44834</v>
      </c>
      <c r="C26" s="16">
        <v>30</v>
      </c>
      <c r="D26" s="16" t="s">
        <v>42</v>
      </c>
      <c r="E26" s="16">
        <v>90</v>
      </c>
      <c r="F26" s="16">
        <v>0</v>
      </c>
      <c r="G26" s="16">
        <v>288</v>
      </c>
      <c r="H26" s="16">
        <f>SUM(Tabla36[[#This Row],[P1 + P4]:[P2 + P5]])</f>
        <v>90</v>
      </c>
      <c r="I26" s="16">
        <f>Tabla36[[#This Row],[P3 + P6]]</f>
        <v>288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YEAR(Tabla36[[#This Row],[Fecha final]])</f>
        <v>2022</v>
      </c>
    </row>
    <row r="27" spans="1:14">
      <c r="A27" s="17">
        <v>44834</v>
      </c>
      <c r="B27" s="17">
        <v>44865</v>
      </c>
      <c r="C27" s="16">
        <v>31</v>
      </c>
      <c r="D27" s="16" t="s">
        <v>42</v>
      </c>
      <c r="E27" s="16">
        <v>99</v>
      </c>
      <c r="F27" s="16">
        <v>89</v>
      </c>
      <c r="G27" s="16">
        <v>188</v>
      </c>
      <c r="H27" s="16">
        <f>SUM(Tabla36[[#This Row],[P1 + P4]:[P2 + P5]])</f>
        <v>188</v>
      </c>
      <c r="I27" s="16">
        <f>Tabla36[[#This Row],[P3 + P6]]</f>
        <v>188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YEAR(Tabla36[[#This Row],[Fecha final]])</f>
        <v>2022</v>
      </c>
    </row>
    <row r="28" spans="1:14">
      <c r="A28" s="17">
        <v>44865</v>
      </c>
      <c r="B28" s="17">
        <v>44895</v>
      </c>
      <c r="C28" s="16">
        <v>30</v>
      </c>
      <c r="D28" s="16" t="s">
        <v>42</v>
      </c>
      <c r="E28" s="16">
        <v>0</v>
      </c>
      <c r="F28" s="16">
        <v>243</v>
      </c>
      <c r="G28" s="16">
        <v>526</v>
      </c>
      <c r="H28" s="16">
        <f>SUM(Tabla36[[#This Row],[P1 + P4]:[P2 + P5]])</f>
        <v>243</v>
      </c>
      <c r="I28" s="16">
        <f>Tabla36[[#This Row],[P3 + P6]]</f>
        <v>526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YEAR(Tabla36[[#This Row],[Fecha final]])</f>
        <v>2022</v>
      </c>
    </row>
    <row r="29" spans="1:14">
      <c r="A29" s="17">
        <v>44895</v>
      </c>
      <c r="B29" s="17">
        <v>44926</v>
      </c>
      <c r="C29" s="16">
        <v>31</v>
      </c>
      <c r="D29" s="16" t="s">
        <v>42</v>
      </c>
      <c r="E29" s="16">
        <v>363</v>
      </c>
      <c r="F29" s="16">
        <v>388</v>
      </c>
      <c r="G29" s="16">
        <v>257</v>
      </c>
      <c r="H29" s="16">
        <f>SUM(Tabla36[[#This Row],[P1 + P4]:[P2 + P5]])</f>
        <v>751</v>
      </c>
      <c r="I29" s="16">
        <f>Tabla36[[#This Row],[P3 + P6]]</f>
        <v>257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YEAR(Tabla36[[#This Row],[Fecha final]])</f>
        <v>2022</v>
      </c>
    </row>
    <row r="30" spans="1:14">
      <c r="A30" s="17">
        <v>44926</v>
      </c>
      <c r="B30" s="17">
        <v>44957</v>
      </c>
      <c r="C30" s="16">
        <v>31</v>
      </c>
      <c r="D30" s="16" t="s">
        <v>42</v>
      </c>
      <c r="E30" s="16">
        <v>488</v>
      </c>
      <c r="F30" s="16">
        <v>522</v>
      </c>
      <c r="G30" s="16">
        <v>225</v>
      </c>
      <c r="H30" s="16">
        <f>SUM(Tabla36[[#This Row],[P1 + P4]:[P2 + P5]])</f>
        <v>1010</v>
      </c>
      <c r="I30" s="16">
        <f>Tabla36[[#This Row],[P3 + P6]]</f>
        <v>225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YEAR(Tabla36[[#This Row],[Fecha final]])</f>
        <v>2023</v>
      </c>
    </row>
    <row r="31" spans="1:14">
      <c r="A31" s="17">
        <v>44957</v>
      </c>
      <c r="B31" s="17">
        <v>44985</v>
      </c>
      <c r="C31" s="16">
        <v>28</v>
      </c>
      <c r="D31" s="16" t="s">
        <v>42</v>
      </c>
      <c r="E31" s="16">
        <v>444</v>
      </c>
      <c r="F31" s="16">
        <v>465</v>
      </c>
      <c r="G31" s="16">
        <v>191</v>
      </c>
      <c r="H31" s="16">
        <f>SUM(Tabla36[[#This Row],[P1 + P4]:[P2 + P5]])</f>
        <v>909</v>
      </c>
      <c r="I31" s="16">
        <f>Tabla36[[#This Row],[P3 + P6]]</f>
        <v>191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YEAR(Tabla36[[#This Row],[Fecha final]])</f>
        <v>2023</v>
      </c>
    </row>
    <row r="32" spans="1:14">
      <c r="A32" s="17">
        <v>44985</v>
      </c>
      <c r="B32" s="17">
        <v>45016</v>
      </c>
      <c r="C32" s="16">
        <v>31</v>
      </c>
      <c r="D32" s="16" t="s">
        <v>42</v>
      </c>
      <c r="E32" s="16">
        <v>0</v>
      </c>
      <c r="F32" s="16">
        <v>308</v>
      </c>
      <c r="G32" s="16">
        <v>469</v>
      </c>
      <c r="H32" s="16">
        <f>SUM(Tabla36[[#This Row],[P1 + P4]:[P2 + P5]])</f>
        <v>308</v>
      </c>
      <c r="I32" s="16">
        <f>Tabla36[[#This Row],[P3 + P6]]</f>
        <v>469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YEAR(Tabla36[[#This Row],[Fecha final]])</f>
        <v>2023</v>
      </c>
    </row>
    <row r="33" spans="1:14">
      <c r="A33" s="17">
        <v>45016</v>
      </c>
      <c r="B33" s="17">
        <v>45046</v>
      </c>
      <c r="C33" s="16">
        <v>30</v>
      </c>
      <c r="D33" s="16" t="s">
        <v>42</v>
      </c>
      <c r="E33" s="16">
        <v>155</v>
      </c>
      <c r="F33" s="16">
        <v>108</v>
      </c>
      <c r="G33" s="16">
        <v>165</v>
      </c>
      <c r="H33" s="16">
        <f>SUM(Tabla36[[#This Row],[P1 + P4]:[P2 + P5]])</f>
        <v>263</v>
      </c>
      <c r="I33" s="16">
        <f>Tabla36[[#This Row],[P3 + P6]]</f>
        <v>165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YEAR(Tabla36[[#This Row],[Fecha final]])</f>
        <v>2023</v>
      </c>
    </row>
    <row r="36" spans="1:14">
      <c r="A36" s="16" t="s">
        <v>77</v>
      </c>
    </row>
    <row r="38" spans="1:14">
      <c r="A38" s="16" t="s">
        <v>37</v>
      </c>
      <c r="B38" s="16" t="s">
        <v>38</v>
      </c>
      <c r="C38" s="16" t="s">
        <v>39</v>
      </c>
      <c r="D38" s="16" t="s">
        <v>40</v>
      </c>
      <c r="E38" s="16" t="s">
        <v>32</v>
      </c>
      <c r="F38" s="16" t="s">
        <v>33</v>
      </c>
      <c r="G38" s="16" t="s">
        <v>34</v>
      </c>
    </row>
    <row r="39" spans="1:14">
      <c r="A39" s="16" t="s">
        <v>76</v>
      </c>
      <c r="B39" s="16" t="s">
        <v>477</v>
      </c>
      <c r="C39" s="16">
        <v>30</v>
      </c>
      <c r="D39" s="16" t="s">
        <v>42</v>
      </c>
      <c r="E39" s="16">
        <v>0</v>
      </c>
      <c r="F39" s="16">
        <v>0</v>
      </c>
      <c r="G39" s="16">
        <v>0</v>
      </c>
    </row>
    <row r="40" spans="1:14">
      <c r="A40" s="16" t="s">
        <v>75</v>
      </c>
      <c r="B40" s="16" t="s">
        <v>76</v>
      </c>
      <c r="C40" s="16">
        <v>31</v>
      </c>
      <c r="D40" s="16" t="s">
        <v>42</v>
      </c>
      <c r="E40" s="16">
        <v>0</v>
      </c>
      <c r="F40" s="16">
        <v>0</v>
      </c>
      <c r="G40" s="16">
        <v>0</v>
      </c>
    </row>
    <row r="41" spans="1:14">
      <c r="A41" s="16" t="s">
        <v>74</v>
      </c>
      <c r="B41" s="16" t="s">
        <v>75</v>
      </c>
      <c r="C41" s="16">
        <v>28</v>
      </c>
      <c r="D41" s="16" t="s">
        <v>42</v>
      </c>
      <c r="E41" s="16">
        <v>0</v>
      </c>
      <c r="F41" s="16">
        <v>0</v>
      </c>
      <c r="G41" s="16">
        <v>0</v>
      </c>
    </row>
    <row r="42" spans="1:14">
      <c r="A42" s="16" t="s">
        <v>73</v>
      </c>
      <c r="B42" s="16" t="s">
        <v>74</v>
      </c>
      <c r="C42" s="16">
        <v>31</v>
      </c>
      <c r="D42" s="16" t="s">
        <v>42</v>
      </c>
      <c r="E42" s="16">
        <v>0</v>
      </c>
      <c r="F42" s="16">
        <v>0</v>
      </c>
      <c r="G42" s="16">
        <v>0</v>
      </c>
    </row>
    <row r="43" spans="1:14">
      <c r="A43" s="16" t="s">
        <v>72</v>
      </c>
      <c r="B43" s="16" t="s">
        <v>73</v>
      </c>
      <c r="C43" s="16">
        <v>31</v>
      </c>
      <c r="D43" s="16" t="s">
        <v>42</v>
      </c>
      <c r="E43" s="16">
        <v>0</v>
      </c>
      <c r="F43" s="16">
        <v>0</v>
      </c>
      <c r="G43" s="16">
        <v>0</v>
      </c>
    </row>
    <row r="44" spans="1:14">
      <c r="A44" s="16" t="s">
        <v>71</v>
      </c>
      <c r="B44" s="16" t="s">
        <v>72</v>
      </c>
      <c r="C44" s="16">
        <v>30</v>
      </c>
      <c r="D44" s="16" t="s">
        <v>42</v>
      </c>
      <c r="E44" s="16">
        <v>0</v>
      </c>
      <c r="F44" s="16">
        <v>0</v>
      </c>
      <c r="G44" s="16">
        <v>0</v>
      </c>
    </row>
    <row r="45" spans="1:14">
      <c r="A45" s="16" t="s">
        <v>70</v>
      </c>
      <c r="B45" s="16" t="s">
        <v>71</v>
      </c>
      <c r="C45" s="16">
        <v>31</v>
      </c>
      <c r="D45" s="16" t="s">
        <v>42</v>
      </c>
      <c r="E45" s="16">
        <v>0</v>
      </c>
      <c r="F45" s="16">
        <v>0</v>
      </c>
      <c r="G45" s="16">
        <v>0</v>
      </c>
    </row>
    <row r="46" spans="1:14">
      <c r="A46" s="16" t="s">
        <v>69</v>
      </c>
      <c r="B46" s="16" t="s">
        <v>70</v>
      </c>
      <c r="C46" s="16">
        <v>30</v>
      </c>
      <c r="D46" s="16" t="s">
        <v>42</v>
      </c>
      <c r="E46" s="16">
        <v>0</v>
      </c>
      <c r="F46" s="16">
        <v>0</v>
      </c>
      <c r="G46" s="16">
        <v>0</v>
      </c>
    </row>
    <row r="47" spans="1:14">
      <c r="A47" s="16" t="s">
        <v>68</v>
      </c>
      <c r="B47" s="16" t="s">
        <v>69</v>
      </c>
      <c r="C47" s="16">
        <v>31</v>
      </c>
      <c r="D47" s="16" t="s">
        <v>42</v>
      </c>
      <c r="E47" s="16">
        <v>20</v>
      </c>
      <c r="F47" s="16">
        <v>0</v>
      </c>
      <c r="G47" s="16">
        <v>0</v>
      </c>
    </row>
    <row r="48" spans="1:14">
      <c r="A48" s="16" t="s">
        <v>67</v>
      </c>
      <c r="B48" s="16" t="s">
        <v>68</v>
      </c>
      <c r="C48" s="16">
        <v>31</v>
      </c>
      <c r="D48" s="16" t="s">
        <v>42</v>
      </c>
      <c r="E48" s="16">
        <v>8</v>
      </c>
      <c r="F48" s="16">
        <v>3</v>
      </c>
      <c r="G48" s="16">
        <v>0</v>
      </c>
    </row>
    <row r="49" spans="1:7">
      <c r="A49" s="16" t="s">
        <v>66</v>
      </c>
      <c r="B49" s="16" t="s">
        <v>67</v>
      </c>
      <c r="C49" s="16">
        <v>30</v>
      </c>
      <c r="D49" s="16" t="s">
        <v>42</v>
      </c>
      <c r="E49" s="16">
        <v>18</v>
      </c>
      <c r="F49" s="16">
        <v>4</v>
      </c>
      <c r="G49" s="16">
        <v>0</v>
      </c>
    </row>
    <row r="50" spans="1:7">
      <c r="A50" s="16" t="s">
        <v>65</v>
      </c>
      <c r="B50" s="16" t="s">
        <v>66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63</v>
      </c>
      <c r="B51" s="16" t="s">
        <v>65</v>
      </c>
      <c r="C51" s="16">
        <v>30</v>
      </c>
      <c r="D51" s="16" t="s">
        <v>42</v>
      </c>
      <c r="E51" s="16">
        <v>3</v>
      </c>
      <c r="F51" s="16">
        <v>0</v>
      </c>
      <c r="G51" s="16">
        <v>0</v>
      </c>
    </row>
    <row r="52" spans="1:7">
      <c r="A52" s="16" t="s">
        <v>62</v>
      </c>
      <c r="B52" s="16" t="s">
        <v>63</v>
      </c>
      <c r="C52" s="16">
        <v>31</v>
      </c>
      <c r="D52" s="16" t="s">
        <v>42</v>
      </c>
      <c r="E52" s="16">
        <v>58</v>
      </c>
      <c r="F52" s="16">
        <v>36</v>
      </c>
      <c r="G52" s="16">
        <v>0</v>
      </c>
    </row>
    <row r="53" spans="1:7">
      <c r="A53" s="16" t="s">
        <v>61</v>
      </c>
      <c r="B53" s="16" t="s">
        <v>62</v>
      </c>
      <c r="C53" s="16">
        <v>28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60</v>
      </c>
      <c r="B54" s="16" t="s">
        <v>61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58</v>
      </c>
      <c r="B55" s="16" t="s">
        <v>60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57</v>
      </c>
      <c r="B56" s="16" t="s">
        <v>58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55</v>
      </c>
      <c r="B57" s="16" t="s">
        <v>57</v>
      </c>
      <c r="C57" s="16">
        <v>31</v>
      </c>
      <c r="D57" s="16" t="s">
        <v>42</v>
      </c>
      <c r="E57" s="16">
        <v>342</v>
      </c>
      <c r="F57" s="16">
        <v>170</v>
      </c>
      <c r="G57" s="16">
        <v>0</v>
      </c>
    </row>
    <row r="58" spans="1:7">
      <c r="A58" s="16" t="s">
        <v>54</v>
      </c>
      <c r="B58" s="16" t="s">
        <v>55</v>
      </c>
      <c r="C58" s="16">
        <v>30</v>
      </c>
      <c r="D58" s="16" t="s">
        <v>42</v>
      </c>
      <c r="E58" s="16">
        <v>429</v>
      </c>
      <c r="F58" s="16">
        <v>176</v>
      </c>
      <c r="G58" s="16">
        <v>0</v>
      </c>
    </row>
    <row r="59" spans="1:7">
      <c r="A59" s="16" t="s">
        <v>53</v>
      </c>
      <c r="B59" s="16" t="s">
        <v>54</v>
      </c>
      <c r="C59" s="16">
        <v>31</v>
      </c>
      <c r="D59" s="16" t="s">
        <v>42</v>
      </c>
      <c r="E59" s="16">
        <v>249</v>
      </c>
      <c r="F59" s="16">
        <v>54</v>
      </c>
      <c r="G59" s="16">
        <v>0</v>
      </c>
    </row>
    <row r="60" spans="1:7">
      <c r="A60" s="16" t="s">
        <v>52</v>
      </c>
      <c r="B60" s="16" t="s">
        <v>53</v>
      </c>
      <c r="C60" s="16">
        <v>31</v>
      </c>
      <c r="D60" s="16" t="s">
        <v>42</v>
      </c>
      <c r="E60" s="16">
        <v>389</v>
      </c>
      <c r="F60" s="16">
        <v>84</v>
      </c>
      <c r="G60" s="16">
        <v>0</v>
      </c>
    </row>
    <row r="61" spans="1:7">
      <c r="A61" s="16" t="s">
        <v>51</v>
      </c>
      <c r="B61" s="16" t="s">
        <v>52</v>
      </c>
      <c r="C61" s="16">
        <v>30</v>
      </c>
      <c r="D61" s="16" t="s">
        <v>42</v>
      </c>
      <c r="E61" s="16">
        <v>385</v>
      </c>
      <c r="F61" s="16">
        <v>73</v>
      </c>
      <c r="G61" s="16">
        <v>0</v>
      </c>
    </row>
    <row r="62" spans="1:7">
      <c r="A62" s="16" t="s">
        <v>50</v>
      </c>
      <c r="B62" s="16" t="s">
        <v>51</v>
      </c>
      <c r="C62" s="16">
        <v>31</v>
      </c>
      <c r="D62" s="16" t="s">
        <v>42</v>
      </c>
      <c r="E62" s="16">
        <v>208</v>
      </c>
      <c r="F62" s="16">
        <v>506</v>
      </c>
      <c r="G62" s="16">
        <v>0</v>
      </c>
    </row>
    <row r="63" spans="1:7">
      <c r="A63" s="16" t="s">
        <v>478</v>
      </c>
      <c r="B63" s="16" t="s">
        <v>50</v>
      </c>
      <c r="C63" s="16">
        <v>23</v>
      </c>
      <c r="D63" s="16" t="s">
        <v>42</v>
      </c>
      <c r="E63" s="16">
        <v>194</v>
      </c>
      <c r="F63" s="16">
        <v>439</v>
      </c>
      <c r="G63" s="16">
        <v>0</v>
      </c>
    </row>
    <row r="64" spans="1:7">
      <c r="A64" s="16" t="s">
        <v>47</v>
      </c>
      <c r="B64" s="16" t="s">
        <v>478</v>
      </c>
      <c r="C64" s="16">
        <v>38</v>
      </c>
      <c r="D64" s="16" t="s">
        <v>42</v>
      </c>
      <c r="E64" s="16">
        <v>180</v>
      </c>
      <c r="F64" s="16">
        <v>672</v>
      </c>
      <c r="G64" s="16">
        <v>0</v>
      </c>
    </row>
    <row r="65" spans="1:7">
      <c r="A65" s="16" t="s">
        <v>46</v>
      </c>
      <c r="B65" s="16" t="s">
        <v>47</v>
      </c>
      <c r="C65" s="16">
        <v>28</v>
      </c>
      <c r="D65" s="16" t="s">
        <v>42</v>
      </c>
      <c r="E65" s="16">
        <v>193</v>
      </c>
      <c r="F65" s="16">
        <v>603</v>
      </c>
      <c r="G65" s="16">
        <v>0</v>
      </c>
    </row>
    <row r="68" spans="1:7">
      <c r="A68" s="16" t="s">
        <v>79</v>
      </c>
    </row>
    <row r="70" spans="1:7">
      <c r="A70" s="16" t="s">
        <v>80</v>
      </c>
      <c r="B70" s="16" t="s">
        <v>81</v>
      </c>
      <c r="C70" s="16" t="s">
        <v>82</v>
      </c>
      <c r="D70" s="16" t="s">
        <v>83</v>
      </c>
    </row>
    <row r="71" spans="1:7">
      <c r="A71" s="16" t="s">
        <v>84</v>
      </c>
      <c r="B71" s="16">
        <v>18</v>
      </c>
      <c r="C71" s="16">
        <v>18</v>
      </c>
      <c r="D71" s="16">
        <v>18</v>
      </c>
    </row>
    <row r="72" spans="1:7">
      <c r="A72" s="16" t="s">
        <v>37</v>
      </c>
      <c r="B72" s="16" t="s">
        <v>38</v>
      </c>
      <c r="C72" s="16" t="s">
        <v>39</v>
      </c>
      <c r="D72" s="16" t="s">
        <v>40</v>
      </c>
      <c r="E72" s="16" t="s">
        <v>81</v>
      </c>
      <c r="F72" s="16" t="s">
        <v>82</v>
      </c>
      <c r="G72" s="16" t="s">
        <v>83</v>
      </c>
    </row>
    <row r="73" spans="1:7">
      <c r="A73" s="16" t="s">
        <v>76</v>
      </c>
      <c r="B73" s="16" t="s">
        <v>477</v>
      </c>
      <c r="C73" s="16">
        <v>30</v>
      </c>
      <c r="D73" s="16" t="s">
        <v>42</v>
      </c>
      <c r="E73" s="16">
        <v>6.5620000000000003</v>
      </c>
      <c r="F73" s="16">
        <v>6.6909999999999998</v>
      </c>
      <c r="G73" s="16">
        <v>2.492</v>
      </c>
    </row>
    <row r="74" spans="1:7">
      <c r="A74" s="16" t="s">
        <v>75</v>
      </c>
      <c r="B74" s="16" t="s">
        <v>76</v>
      </c>
      <c r="C74" s="16">
        <v>31</v>
      </c>
      <c r="D74" s="16" t="s">
        <v>42</v>
      </c>
      <c r="E74" s="16">
        <v>0</v>
      </c>
      <c r="F74" s="16">
        <v>11.521000000000001</v>
      </c>
      <c r="G74" s="16">
        <v>11.606</v>
      </c>
    </row>
    <row r="75" spans="1:7">
      <c r="A75" s="16" t="s">
        <v>74</v>
      </c>
      <c r="B75" s="16" t="s">
        <v>75</v>
      </c>
      <c r="C75" s="16">
        <v>28</v>
      </c>
      <c r="D75" s="16" t="s">
        <v>42</v>
      </c>
      <c r="E75" s="16">
        <v>12.3</v>
      </c>
      <c r="F75" s="16">
        <v>13.768000000000001</v>
      </c>
      <c r="G75" s="16">
        <v>6.3330000000000002</v>
      </c>
    </row>
    <row r="76" spans="1:7">
      <c r="A76" s="16" t="s">
        <v>73</v>
      </c>
      <c r="B76" s="16" t="s">
        <v>74</v>
      </c>
      <c r="C76" s="16">
        <v>31</v>
      </c>
      <c r="D76" s="16" t="s">
        <v>42</v>
      </c>
      <c r="E76" s="16">
        <v>12.752000000000001</v>
      </c>
      <c r="F76" s="16">
        <v>13.176</v>
      </c>
      <c r="G76" s="16">
        <v>9.6920000000000002</v>
      </c>
    </row>
    <row r="77" spans="1:7">
      <c r="A77" s="16" t="s">
        <v>72</v>
      </c>
      <c r="B77" s="16" t="s">
        <v>73</v>
      </c>
      <c r="C77" s="16">
        <v>31</v>
      </c>
      <c r="D77" s="16" t="s">
        <v>42</v>
      </c>
      <c r="E77" s="16">
        <v>11.499000000000001</v>
      </c>
      <c r="F77" s="16">
        <v>13.56</v>
      </c>
      <c r="G77" s="16">
        <v>4.399</v>
      </c>
    </row>
    <row r="78" spans="1:7">
      <c r="A78" s="16" t="s">
        <v>71</v>
      </c>
      <c r="B78" s="16" t="s">
        <v>72</v>
      </c>
      <c r="C78" s="16">
        <v>30</v>
      </c>
      <c r="D78" s="16" t="s">
        <v>42</v>
      </c>
      <c r="E78" s="16">
        <v>0</v>
      </c>
      <c r="F78" s="16">
        <v>11.388</v>
      </c>
      <c r="G78" s="16">
        <v>12.814</v>
      </c>
    </row>
    <row r="79" spans="1:7">
      <c r="A79" s="16" t="s">
        <v>70</v>
      </c>
      <c r="B79" s="16" t="s">
        <v>71</v>
      </c>
      <c r="C79" s="16">
        <v>31</v>
      </c>
      <c r="D79" s="16" t="s">
        <v>42</v>
      </c>
      <c r="E79" s="16">
        <v>6.7460000000000004</v>
      </c>
      <c r="F79" s="16">
        <v>8.173</v>
      </c>
      <c r="G79" s="16">
        <v>2.4260000000000002</v>
      </c>
    </row>
    <row r="80" spans="1:7">
      <c r="A80" s="16" t="s">
        <v>69</v>
      </c>
      <c r="B80" s="16" t="s">
        <v>70</v>
      </c>
      <c r="C80" s="16">
        <v>30</v>
      </c>
      <c r="D80" s="16" t="s">
        <v>42</v>
      </c>
      <c r="E80" s="16">
        <v>6.8220000000000001</v>
      </c>
      <c r="F80" s="16">
        <v>0</v>
      </c>
      <c r="G80" s="16">
        <v>8.8840000000000003</v>
      </c>
    </row>
    <row r="81" spans="1:7">
      <c r="A81" s="16" t="s">
        <v>68</v>
      </c>
      <c r="B81" s="16" t="s">
        <v>69</v>
      </c>
      <c r="C81" s="16">
        <v>31</v>
      </c>
      <c r="D81" s="16" t="s">
        <v>42</v>
      </c>
      <c r="E81" s="16">
        <v>1.974</v>
      </c>
      <c r="F81" s="16">
        <v>0</v>
      </c>
      <c r="G81" s="16">
        <v>11.295999999999999</v>
      </c>
    </row>
    <row r="82" spans="1:7">
      <c r="A82" s="16" t="s">
        <v>67</v>
      </c>
      <c r="B82" s="16" t="s">
        <v>68</v>
      </c>
      <c r="C82" s="16">
        <v>31</v>
      </c>
      <c r="D82" s="16" t="s">
        <v>42</v>
      </c>
      <c r="E82" s="16">
        <v>12</v>
      </c>
      <c r="F82" s="16">
        <v>1</v>
      </c>
      <c r="G82" s="16">
        <v>1</v>
      </c>
    </row>
    <row r="83" spans="1:7">
      <c r="A83" s="16" t="s">
        <v>66</v>
      </c>
      <c r="B83" s="16" t="s">
        <v>67</v>
      </c>
      <c r="C83" s="16">
        <v>30</v>
      </c>
      <c r="D83" s="16" t="s">
        <v>42</v>
      </c>
      <c r="E83" s="16">
        <v>1.802</v>
      </c>
      <c r="F83" s="16">
        <v>0</v>
      </c>
      <c r="G83" s="16">
        <v>1.6319999999999999</v>
      </c>
    </row>
    <row r="84" spans="1:7">
      <c r="A84" s="16" t="s">
        <v>65</v>
      </c>
      <c r="B84" s="16" t="s">
        <v>66</v>
      </c>
      <c r="C84" s="16">
        <v>31</v>
      </c>
      <c r="D84" s="16" t="s">
        <v>42</v>
      </c>
      <c r="E84" s="16">
        <v>1.853</v>
      </c>
      <c r="F84" s="16">
        <v>1.881</v>
      </c>
      <c r="G84" s="16">
        <v>1.8680000000000001</v>
      </c>
    </row>
    <row r="85" spans="1:7">
      <c r="A85" s="16" t="s">
        <v>63</v>
      </c>
      <c r="B85" s="16" t="s">
        <v>65</v>
      </c>
      <c r="C85" s="16">
        <v>30</v>
      </c>
      <c r="D85" s="16" t="s">
        <v>42</v>
      </c>
      <c r="E85" s="16">
        <v>2.1040000000000001</v>
      </c>
      <c r="F85" s="16">
        <v>1.8720000000000001</v>
      </c>
      <c r="G85" s="16">
        <v>1.9379999999999999</v>
      </c>
    </row>
    <row r="86" spans="1:7">
      <c r="A86" s="16" t="s">
        <v>62</v>
      </c>
      <c r="B86" s="16" t="s">
        <v>63</v>
      </c>
      <c r="C86" s="16">
        <v>31</v>
      </c>
      <c r="D86" s="16" t="s">
        <v>42</v>
      </c>
      <c r="E86" s="16">
        <v>0</v>
      </c>
      <c r="F86" s="16">
        <v>4.359</v>
      </c>
      <c r="G86" s="16">
        <v>2.1539999999999999</v>
      </c>
    </row>
    <row r="87" spans="1:7">
      <c r="A87" s="16" t="s">
        <v>61</v>
      </c>
      <c r="B87" s="16" t="s">
        <v>62</v>
      </c>
      <c r="C87" s="16">
        <v>28</v>
      </c>
      <c r="D87" s="16" t="s">
        <v>42</v>
      </c>
      <c r="E87" s="16">
        <v>1</v>
      </c>
      <c r="F87" s="16">
        <v>1</v>
      </c>
      <c r="G87" s="16">
        <v>1</v>
      </c>
    </row>
    <row r="88" spans="1:7">
      <c r="A88" s="16" t="s">
        <v>60</v>
      </c>
      <c r="B88" s="16" t="s">
        <v>61</v>
      </c>
      <c r="C88" s="16">
        <v>31</v>
      </c>
      <c r="D88" s="16" t="s">
        <v>42</v>
      </c>
      <c r="E88" s="16">
        <v>1.8879999999999999</v>
      </c>
      <c r="F88" s="16">
        <v>1.877</v>
      </c>
      <c r="G88" s="16">
        <v>1.8839999999999999</v>
      </c>
    </row>
    <row r="89" spans="1:7">
      <c r="A89" s="16" t="s">
        <v>58</v>
      </c>
      <c r="B89" s="16" t="s">
        <v>60</v>
      </c>
      <c r="C89" s="16">
        <v>31</v>
      </c>
      <c r="D89" s="16" t="s">
        <v>42</v>
      </c>
      <c r="E89" s="16">
        <v>1.893</v>
      </c>
      <c r="F89" s="16">
        <v>1.829</v>
      </c>
      <c r="G89" s="16">
        <v>1.8979999999999999</v>
      </c>
    </row>
    <row r="90" spans="1:7">
      <c r="A90" s="16" t="s">
        <v>57</v>
      </c>
      <c r="B90" s="16" t="s">
        <v>58</v>
      </c>
      <c r="C90" s="16">
        <v>30</v>
      </c>
      <c r="D90" s="16" t="s">
        <v>42</v>
      </c>
      <c r="E90" s="16">
        <v>0</v>
      </c>
      <c r="F90" s="16">
        <v>1.821</v>
      </c>
      <c r="G90" s="16">
        <v>1.8819999999999999</v>
      </c>
    </row>
    <row r="91" spans="1:7">
      <c r="A91" s="16" t="s">
        <v>55</v>
      </c>
      <c r="B91" s="16" t="s">
        <v>57</v>
      </c>
      <c r="C91" s="16">
        <v>31</v>
      </c>
      <c r="D91" s="16" t="s">
        <v>42</v>
      </c>
      <c r="E91" s="16">
        <v>9.3040000000000003</v>
      </c>
      <c r="F91" s="16">
        <v>11.679</v>
      </c>
      <c r="G91" s="16">
        <v>9.8190000000000008</v>
      </c>
    </row>
    <row r="92" spans="1:7">
      <c r="A92" s="16" t="s">
        <v>54</v>
      </c>
      <c r="B92" s="16" t="s">
        <v>55</v>
      </c>
      <c r="C92" s="16">
        <v>30</v>
      </c>
      <c r="D92" s="16" t="s">
        <v>42</v>
      </c>
      <c r="E92" s="16">
        <v>7.742</v>
      </c>
      <c r="F92" s="16">
        <v>0</v>
      </c>
      <c r="G92" s="16">
        <v>9.9260000000000002</v>
      </c>
    </row>
    <row r="93" spans="1:7">
      <c r="A93" s="16" t="s">
        <v>53</v>
      </c>
      <c r="B93" s="16" t="s">
        <v>54</v>
      </c>
      <c r="C93" s="16">
        <v>31</v>
      </c>
      <c r="D93" s="16" t="s">
        <v>42</v>
      </c>
      <c r="E93" s="16">
        <v>12.183</v>
      </c>
      <c r="F93" s="16">
        <v>0</v>
      </c>
      <c r="G93" s="16">
        <v>13.068</v>
      </c>
    </row>
    <row r="94" spans="1:7">
      <c r="A94" s="16" t="s">
        <v>52</v>
      </c>
      <c r="B94" s="16" t="s">
        <v>53</v>
      </c>
      <c r="C94" s="16">
        <v>31</v>
      </c>
      <c r="D94" s="16" t="s">
        <v>42</v>
      </c>
      <c r="E94" s="16">
        <v>14.416</v>
      </c>
      <c r="F94" s="16">
        <v>13.425000000000001</v>
      </c>
      <c r="G94" s="16">
        <v>5.992</v>
      </c>
    </row>
    <row r="95" spans="1:7">
      <c r="A95" s="16" t="s">
        <v>51</v>
      </c>
      <c r="B95" s="16" t="s">
        <v>52</v>
      </c>
      <c r="C95" s="16">
        <v>30</v>
      </c>
      <c r="D95" s="16" t="s">
        <v>42</v>
      </c>
      <c r="E95" s="16">
        <v>13.352</v>
      </c>
      <c r="F95" s="16">
        <v>0</v>
      </c>
      <c r="G95" s="16">
        <v>15.377000000000001</v>
      </c>
    </row>
    <row r="96" spans="1:7">
      <c r="A96" s="16" t="s">
        <v>50</v>
      </c>
      <c r="B96" s="16" t="s">
        <v>51</v>
      </c>
      <c r="C96" s="16">
        <v>31</v>
      </c>
      <c r="D96" s="16" t="s">
        <v>42</v>
      </c>
      <c r="E96" s="16">
        <v>9.1219999999999999</v>
      </c>
      <c r="F96" s="16">
        <v>12.896000000000001</v>
      </c>
      <c r="G96" s="16">
        <v>6.8</v>
      </c>
    </row>
    <row r="97" spans="1:7">
      <c r="A97" s="16" t="s">
        <v>478</v>
      </c>
      <c r="B97" s="16" t="s">
        <v>50</v>
      </c>
      <c r="C97" s="16">
        <v>23</v>
      </c>
      <c r="D97" s="16" t="s">
        <v>42</v>
      </c>
      <c r="E97" s="16">
        <v>8.7859999999999996</v>
      </c>
      <c r="F97" s="16">
        <v>12.801</v>
      </c>
      <c r="G97" s="16">
        <v>8.0660000000000007</v>
      </c>
    </row>
    <row r="98" spans="1:7">
      <c r="A98" s="16" t="s">
        <v>47</v>
      </c>
      <c r="B98" s="16" t="s">
        <v>478</v>
      </c>
      <c r="C98" s="16">
        <v>38</v>
      </c>
      <c r="D98" s="16" t="s">
        <v>42</v>
      </c>
      <c r="E98" s="16">
        <v>5</v>
      </c>
      <c r="F98" s="16">
        <v>12</v>
      </c>
      <c r="G98" s="16">
        <v>11</v>
      </c>
    </row>
    <row r="99" spans="1:7">
      <c r="A99" s="16" t="s">
        <v>46</v>
      </c>
      <c r="B99" s="16" t="s">
        <v>47</v>
      </c>
      <c r="C99" s="16">
        <v>28</v>
      </c>
      <c r="D99" s="16" t="s">
        <v>42</v>
      </c>
      <c r="E99" s="16">
        <v>5.335</v>
      </c>
      <c r="F99" s="16">
        <v>13.986000000000001</v>
      </c>
      <c r="G99" s="16">
        <v>11.867000000000001</v>
      </c>
    </row>
    <row r="102" spans="1:7">
      <c r="A102" s="16" t="s">
        <v>85</v>
      </c>
    </row>
    <row r="105" spans="1:7">
      <c r="A105" s="16" t="s">
        <v>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745B-57AC-4079-A414-2AA15CD523E7}">
  <dimension ref="A1:N126"/>
  <sheetViews>
    <sheetView topLeftCell="A22" workbookViewId="0">
      <selection activeCell="E27" sqref="E27:E39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479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3128</v>
      </c>
      <c r="C4" s="16">
        <v>2140</v>
      </c>
      <c r="D4" s="16">
        <v>1668</v>
      </c>
    </row>
    <row r="5" spans="1:14">
      <c r="A5" s="16" t="s">
        <v>36</v>
      </c>
      <c r="B5" s="16">
        <v>45</v>
      </c>
      <c r="C5" s="16">
        <v>31</v>
      </c>
      <c r="D5" s="16">
        <v>24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43993</v>
      </c>
      <c r="B7" s="17">
        <v>44025</v>
      </c>
      <c r="C7" s="16">
        <v>32</v>
      </c>
      <c r="D7" s="16" t="s">
        <v>42</v>
      </c>
      <c r="E7" s="16">
        <v>141</v>
      </c>
      <c r="F7" s="16">
        <v>246</v>
      </c>
      <c r="G7" s="16">
        <v>0</v>
      </c>
      <c r="H7" s="16">
        <f>SUM(Tabla37[[#This Row],[P1 + P4]:[P2 + P5]])</f>
        <v>387</v>
      </c>
      <c r="I7" s="16">
        <f>Tabla37[[#This Row],[P3 + P6]]</f>
        <v>0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YEAR(Tabla37[[#This Row],[Fecha final]])</f>
        <v>2020</v>
      </c>
    </row>
    <row r="8" spans="1:14">
      <c r="A8" s="17">
        <v>44025</v>
      </c>
      <c r="B8" s="17">
        <v>44055</v>
      </c>
      <c r="C8" s="16">
        <v>30</v>
      </c>
      <c r="D8" s="16" t="s">
        <v>42</v>
      </c>
      <c r="E8" s="16">
        <v>131</v>
      </c>
      <c r="F8" s="16">
        <v>310</v>
      </c>
      <c r="G8" s="16">
        <v>0</v>
      </c>
      <c r="H8" s="16">
        <f>SUM(Tabla37[[#This Row],[P1 + P4]:[P2 + P5]])</f>
        <v>441</v>
      </c>
      <c r="I8" s="16">
        <f>Tabla37[[#This Row],[P3 + P6]]</f>
        <v>0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YEAR(Tabla37[[#This Row],[Fecha final]])</f>
        <v>2020</v>
      </c>
    </row>
    <row r="9" spans="1:14">
      <c r="A9" s="17">
        <v>44055</v>
      </c>
      <c r="B9" s="17">
        <v>44087</v>
      </c>
      <c r="C9" s="16">
        <v>32</v>
      </c>
      <c r="D9" s="16" t="s">
        <v>42</v>
      </c>
      <c r="E9" s="16">
        <v>120</v>
      </c>
      <c r="F9" s="16">
        <v>213</v>
      </c>
      <c r="G9" s="16">
        <v>0</v>
      </c>
      <c r="H9" s="16">
        <f>SUM(Tabla37[[#This Row],[P1 + P4]:[P2 + P5]])</f>
        <v>333</v>
      </c>
      <c r="I9" s="16">
        <f>Tabla37[[#This Row],[P3 + P6]]</f>
        <v>0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YEAR(Tabla37[[#This Row],[Fecha final]])</f>
        <v>2020</v>
      </c>
    </row>
    <row r="10" spans="1:14">
      <c r="A10" s="17">
        <v>44087</v>
      </c>
      <c r="B10" s="17">
        <v>44117</v>
      </c>
      <c r="C10" s="16">
        <v>30</v>
      </c>
      <c r="D10" s="16" t="s">
        <v>42</v>
      </c>
      <c r="E10" s="16">
        <v>178</v>
      </c>
      <c r="F10" s="16">
        <v>257</v>
      </c>
      <c r="G10" s="16">
        <v>0</v>
      </c>
      <c r="H10" s="16">
        <f>SUM(Tabla37[[#This Row],[P1 + P4]:[P2 + P5]])</f>
        <v>435</v>
      </c>
      <c r="I10" s="16">
        <f>Tabla37[[#This Row],[P3 + P6]]</f>
        <v>0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YEAR(Tabla37[[#This Row],[Fecha final]])</f>
        <v>2020</v>
      </c>
    </row>
    <row r="11" spans="1:14">
      <c r="A11" s="17">
        <v>44117</v>
      </c>
      <c r="B11" s="17">
        <v>44146</v>
      </c>
      <c r="C11" s="16">
        <v>29</v>
      </c>
      <c r="D11" s="16" t="s">
        <v>42</v>
      </c>
      <c r="E11" s="16">
        <v>237</v>
      </c>
      <c r="F11" s="16">
        <v>359</v>
      </c>
      <c r="G11" s="16">
        <v>0</v>
      </c>
      <c r="H11" s="16">
        <f>SUM(Tabla37[[#This Row],[P1 + P4]:[P2 + P5]])</f>
        <v>596</v>
      </c>
      <c r="I11" s="16">
        <f>Tabla37[[#This Row],[P3 + P6]]</f>
        <v>0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YEAR(Tabla37[[#This Row],[Fecha final]])</f>
        <v>2020</v>
      </c>
    </row>
    <row r="12" spans="1:14">
      <c r="A12" s="17">
        <v>44146</v>
      </c>
      <c r="B12" s="17">
        <v>44175</v>
      </c>
      <c r="C12" s="16">
        <v>29</v>
      </c>
      <c r="D12" s="16" t="s">
        <v>42</v>
      </c>
      <c r="E12" s="16">
        <v>326</v>
      </c>
      <c r="F12" s="16">
        <v>412</v>
      </c>
      <c r="G12" s="16">
        <v>0</v>
      </c>
      <c r="H12" s="16">
        <f>SUM(Tabla37[[#This Row],[P1 + P4]:[P2 + P5]])</f>
        <v>738</v>
      </c>
      <c r="I12" s="16">
        <f>Tabla37[[#This Row],[P3 + P6]]</f>
        <v>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YEAR(Tabla37[[#This Row],[Fecha final]])</f>
        <v>2020</v>
      </c>
    </row>
    <row r="13" spans="1:14">
      <c r="A13" s="17">
        <v>44175</v>
      </c>
      <c r="B13" s="17">
        <v>44207</v>
      </c>
      <c r="C13" s="16">
        <v>32</v>
      </c>
      <c r="D13" s="16" t="s">
        <v>42</v>
      </c>
      <c r="E13" s="16">
        <v>385</v>
      </c>
      <c r="F13" s="16">
        <v>458</v>
      </c>
      <c r="G13" s="16">
        <v>0</v>
      </c>
      <c r="H13" s="16">
        <f>SUM(Tabla37[[#This Row],[P1 + P4]:[P2 + P5]])</f>
        <v>843</v>
      </c>
      <c r="I13" s="16">
        <f>Tabla37[[#This Row],[P3 + P6]]</f>
        <v>0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YEAR(Tabla37[[#This Row],[Fecha final]])</f>
        <v>2021</v>
      </c>
    </row>
    <row r="14" spans="1:14">
      <c r="A14" s="17">
        <v>44207</v>
      </c>
      <c r="B14" s="17">
        <v>44234</v>
      </c>
      <c r="C14" s="16">
        <v>27</v>
      </c>
      <c r="D14" s="16" t="s">
        <v>42</v>
      </c>
      <c r="E14" s="16">
        <v>403</v>
      </c>
      <c r="F14" s="16">
        <v>452</v>
      </c>
      <c r="G14" s="16">
        <v>0</v>
      </c>
      <c r="H14" s="16">
        <f>SUM(Tabla37[[#This Row],[P1 + P4]:[P2 + P5]])</f>
        <v>855</v>
      </c>
      <c r="I14" s="16">
        <f>Tabla37[[#This Row],[P3 + P6]]</f>
        <v>0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YEAR(Tabla37[[#This Row],[Fecha final]])</f>
        <v>2021</v>
      </c>
    </row>
    <row r="15" spans="1:14">
      <c r="A15" s="17">
        <v>44234</v>
      </c>
      <c r="B15" s="17">
        <v>44266</v>
      </c>
      <c r="C15" s="16">
        <v>32</v>
      </c>
      <c r="D15" s="16" t="s">
        <v>42</v>
      </c>
      <c r="E15" s="16">
        <v>330</v>
      </c>
      <c r="F15" s="16">
        <v>439</v>
      </c>
      <c r="G15" s="16">
        <v>0</v>
      </c>
      <c r="H15" s="16">
        <f>SUM(Tabla37[[#This Row],[P1 + P4]:[P2 + P5]])</f>
        <v>769</v>
      </c>
      <c r="I15" s="16">
        <f>Tabla37[[#This Row],[P3 + P6]]</f>
        <v>0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YEAR(Tabla37[[#This Row],[Fecha final]])</f>
        <v>2021</v>
      </c>
    </row>
    <row r="16" spans="1:14">
      <c r="A16" s="17">
        <v>44266</v>
      </c>
      <c r="B16" s="17">
        <v>44301</v>
      </c>
      <c r="C16" s="16">
        <v>35</v>
      </c>
      <c r="D16" s="16" t="s">
        <v>42</v>
      </c>
      <c r="E16" s="16">
        <v>247</v>
      </c>
      <c r="F16" s="16">
        <v>412</v>
      </c>
      <c r="G16" s="16">
        <v>0</v>
      </c>
      <c r="H16" s="16">
        <f>SUM(Tabla37[[#This Row],[P1 + P4]:[P2 + P5]])</f>
        <v>659</v>
      </c>
      <c r="I16" s="16">
        <f>Tabla37[[#This Row],[P3 + P6]]</f>
        <v>0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YEAR(Tabla37[[#This Row],[Fecha final]])</f>
        <v>2021</v>
      </c>
    </row>
    <row r="17" spans="1:14">
      <c r="A17" s="17">
        <v>44301</v>
      </c>
      <c r="B17" s="17">
        <v>44328</v>
      </c>
      <c r="C17" s="16">
        <v>27</v>
      </c>
      <c r="D17" s="16" t="s">
        <v>42</v>
      </c>
      <c r="E17" s="16">
        <v>158</v>
      </c>
      <c r="F17" s="16">
        <v>240</v>
      </c>
      <c r="G17" s="16">
        <v>0</v>
      </c>
      <c r="H17" s="16">
        <f>SUM(Tabla37[[#This Row],[P1 + P4]:[P2 + P5]])</f>
        <v>398</v>
      </c>
      <c r="I17" s="16">
        <f>Tabla37[[#This Row],[P3 + P6]]</f>
        <v>0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YEAR(Tabla37[[#This Row],[Fecha final]])</f>
        <v>2021</v>
      </c>
    </row>
    <row r="18" spans="1:14">
      <c r="A18" s="17">
        <v>44328</v>
      </c>
      <c r="B18" s="17">
        <v>44347</v>
      </c>
      <c r="C18" s="16">
        <v>19</v>
      </c>
      <c r="D18" s="16" t="s">
        <v>42</v>
      </c>
      <c r="E18" s="16">
        <v>89</v>
      </c>
      <c r="F18" s="16">
        <v>142</v>
      </c>
      <c r="G18" s="16">
        <v>0</v>
      </c>
      <c r="H18" s="16">
        <f>SUM(Tabla37[[#This Row],[P1 + P4]:[P2 + P5]])</f>
        <v>231</v>
      </c>
      <c r="I18" s="16">
        <f>Tabla37[[#This Row],[P3 + P6]]</f>
        <v>0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YEAR(Tabla37[[#This Row],[Fecha final]])</f>
        <v>2021</v>
      </c>
    </row>
    <row r="19" spans="1:14">
      <c r="A19" s="17">
        <v>44347</v>
      </c>
      <c r="B19" s="17">
        <v>44360</v>
      </c>
      <c r="C19" s="16">
        <v>13</v>
      </c>
      <c r="D19" s="16" t="s">
        <v>42</v>
      </c>
      <c r="E19" s="16">
        <v>36</v>
      </c>
      <c r="F19" s="16">
        <v>30</v>
      </c>
      <c r="G19" s="16">
        <v>46</v>
      </c>
      <c r="H19" s="16">
        <f>SUM(Tabla37[[#This Row],[P1 + P4]:[P2 + P5]])</f>
        <v>66</v>
      </c>
      <c r="I19" s="16">
        <f>Tabla37[[#This Row],[P3 + P6]]</f>
        <v>46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YEAR(Tabla37[[#This Row],[Fecha final]])</f>
        <v>2021</v>
      </c>
    </row>
    <row r="20" spans="1:14">
      <c r="A20" s="17">
        <v>44360</v>
      </c>
      <c r="B20" s="17">
        <v>44390</v>
      </c>
      <c r="C20" s="16">
        <v>30</v>
      </c>
      <c r="D20" s="16" t="s">
        <v>42</v>
      </c>
      <c r="E20" s="16">
        <v>112</v>
      </c>
      <c r="F20" s="16">
        <v>78</v>
      </c>
      <c r="G20" s="16">
        <v>113</v>
      </c>
      <c r="H20" s="16">
        <f>SUM(Tabla37[[#This Row],[P1 + P4]:[P2 + P5]])</f>
        <v>190</v>
      </c>
      <c r="I20" s="16">
        <f>Tabla37[[#This Row],[P3 + P6]]</f>
        <v>113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YEAR(Tabla37[[#This Row],[Fecha final]])</f>
        <v>2021</v>
      </c>
    </row>
    <row r="21" spans="1:14">
      <c r="A21" s="17">
        <v>44390</v>
      </c>
      <c r="B21" s="17">
        <v>44425</v>
      </c>
      <c r="C21" s="16">
        <v>35</v>
      </c>
      <c r="D21" s="16" t="s">
        <v>42</v>
      </c>
      <c r="E21" s="16">
        <v>217</v>
      </c>
      <c r="F21" s="16">
        <v>90</v>
      </c>
      <c r="G21" s="16">
        <v>132</v>
      </c>
      <c r="H21" s="16">
        <f>SUM(Tabla37[[#This Row],[P1 + P4]:[P2 + P5]])</f>
        <v>307</v>
      </c>
      <c r="I21" s="16">
        <f>Tabla37[[#This Row],[P3 + P6]]</f>
        <v>132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YEAR(Tabla37[[#This Row],[Fecha final]])</f>
        <v>2021</v>
      </c>
    </row>
    <row r="22" spans="1:14">
      <c r="A22" s="17">
        <v>44425</v>
      </c>
      <c r="B22" s="17">
        <v>44452</v>
      </c>
      <c r="C22" s="16">
        <v>27</v>
      </c>
      <c r="D22" s="16" t="s">
        <v>42</v>
      </c>
      <c r="E22" s="16">
        <v>82</v>
      </c>
      <c r="F22" s="16">
        <v>58</v>
      </c>
      <c r="G22" s="16">
        <v>103</v>
      </c>
      <c r="H22" s="16">
        <f>SUM(Tabla37[[#This Row],[P1 + P4]:[P2 + P5]])</f>
        <v>140</v>
      </c>
      <c r="I22" s="16">
        <f>Tabla37[[#This Row],[P3 + P6]]</f>
        <v>103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YEAR(Tabla37[[#This Row],[Fecha final]])</f>
        <v>2021</v>
      </c>
    </row>
    <row r="23" spans="1:14">
      <c r="A23" s="17">
        <v>44452</v>
      </c>
      <c r="B23" s="17">
        <v>44482</v>
      </c>
      <c r="C23" s="16">
        <v>30</v>
      </c>
      <c r="D23" s="16" t="s">
        <v>42</v>
      </c>
      <c r="E23" s="16">
        <v>141</v>
      </c>
      <c r="F23" s="16">
        <v>100</v>
      </c>
      <c r="G23" s="16">
        <v>137</v>
      </c>
      <c r="H23" s="16">
        <f>SUM(Tabla37[[#This Row],[P1 + P4]:[P2 + P5]])</f>
        <v>241</v>
      </c>
      <c r="I23" s="16">
        <f>Tabla37[[#This Row],[P3 + P6]]</f>
        <v>137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YEAR(Tabla37[[#This Row],[Fecha final]])</f>
        <v>2021</v>
      </c>
    </row>
    <row r="24" spans="1:14">
      <c r="A24" s="17">
        <v>44482</v>
      </c>
      <c r="B24" s="17">
        <v>44511</v>
      </c>
      <c r="C24" s="16">
        <v>29</v>
      </c>
      <c r="D24" s="16" t="s">
        <v>42</v>
      </c>
      <c r="E24" s="16">
        <v>261</v>
      </c>
      <c r="F24" s="16">
        <v>182</v>
      </c>
      <c r="G24" s="16">
        <v>138</v>
      </c>
      <c r="H24" s="16">
        <f>SUM(Tabla37[[#This Row],[P1 + P4]:[P2 + P5]])</f>
        <v>443</v>
      </c>
      <c r="I24" s="16">
        <f>Tabla37[[#This Row],[P3 + P6]]</f>
        <v>138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YEAR(Tabla37[[#This Row],[Fecha final]])</f>
        <v>2021</v>
      </c>
    </row>
    <row r="25" spans="1:14">
      <c r="A25" s="17">
        <v>44511</v>
      </c>
      <c r="B25" s="17">
        <v>44533</v>
      </c>
      <c r="C25" s="16">
        <v>22</v>
      </c>
      <c r="D25" s="16" t="s">
        <v>42</v>
      </c>
      <c r="E25" s="16">
        <v>334</v>
      </c>
      <c r="F25" s="16">
        <v>225</v>
      </c>
      <c r="G25" s="16">
        <v>101</v>
      </c>
      <c r="H25" s="16">
        <f>SUM(Tabla37[[#This Row],[P1 + P4]:[P2 + P5]])</f>
        <v>559</v>
      </c>
      <c r="I25" s="16">
        <f>Tabla37[[#This Row],[P3 + P6]]</f>
        <v>101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YEAR(Tabla37[[#This Row],[Fecha final]])</f>
        <v>2021</v>
      </c>
    </row>
    <row r="26" spans="1:14">
      <c r="A26" s="17">
        <v>44533</v>
      </c>
      <c r="B26" s="17">
        <v>44543</v>
      </c>
      <c r="C26" s="16">
        <v>10</v>
      </c>
      <c r="D26" s="16" t="s">
        <v>42</v>
      </c>
      <c r="E26" s="16">
        <v>97</v>
      </c>
      <c r="F26" s="16">
        <v>58</v>
      </c>
      <c r="G26" s="16">
        <v>68</v>
      </c>
      <c r="H26" s="16">
        <f>SUM(Tabla37[[#This Row],[P1 + P4]:[P2 + P5]])</f>
        <v>155</v>
      </c>
      <c r="I26" s="16">
        <f>Tabla37[[#This Row],[P3 + P6]]</f>
        <v>68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YEAR(Tabla37[[#This Row],[Fecha final]])</f>
        <v>2021</v>
      </c>
    </row>
    <row r="27" spans="1:14">
      <c r="A27" s="17">
        <v>44543</v>
      </c>
      <c r="B27" s="17">
        <v>44574</v>
      </c>
      <c r="C27" s="16">
        <v>31</v>
      </c>
      <c r="D27" s="16" t="s">
        <v>42</v>
      </c>
      <c r="E27" s="16">
        <v>191</v>
      </c>
      <c r="F27" s="16">
        <v>151</v>
      </c>
      <c r="G27" s="16">
        <v>151</v>
      </c>
      <c r="H27" s="16">
        <f>SUM(Tabla37[[#This Row],[P1 + P4]:[P2 + P5]])</f>
        <v>342</v>
      </c>
      <c r="I27" s="16">
        <f>Tabla37[[#This Row],[P3 + P6]]</f>
        <v>151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YEAR(Tabla37[[#This Row],[Fecha final]])</f>
        <v>2022</v>
      </c>
    </row>
    <row r="28" spans="1:14">
      <c r="A28" s="17">
        <v>44574</v>
      </c>
      <c r="B28" s="17">
        <v>44602</v>
      </c>
      <c r="C28" s="16">
        <v>28</v>
      </c>
      <c r="D28" s="16" t="s">
        <v>42</v>
      </c>
      <c r="E28" s="16">
        <v>254</v>
      </c>
      <c r="F28" s="16">
        <v>164</v>
      </c>
      <c r="G28" s="16">
        <v>122</v>
      </c>
      <c r="H28" s="16">
        <f>SUM(Tabla37[[#This Row],[P1 + P4]:[P2 + P5]])</f>
        <v>418</v>
      </c>
      <c r="I28" s="16">
        <f>Tabla37[[#This Row],[P3 + P6]]</f>
        <v>122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YEAR(Tabla37[[#This Row],[Fecha final]])</f>
        <v>2022</v>
      </c>
    </row>
    <row r="29" spans="1:14">
      <c r="A29" s="17">
        <v>44602</v>
      </c>
      <c r="B29" s="17">
        <v>44633</v>
      </c>
      <c r="C29" s="16">
        <v>31</v>
      </c>
      <c r="D29" s="16" t="s">
        <v>42</v>
      </c>
      <c r="E29" s="16">
        <v>408</v>
      </c>
      <c r="F29" s="16">
        <v>278</v>
      </c>
      <c r="G29" s="16">
        <v>111</v>
      </c>
      <c r="H29" s="16">
        <f>SUM(Tabla37[[#This Row],[P1 + P4]:[P2 + P5]])</f>
        <v>686</v>
      </c>
      <c r="I29" s="16">
        <f>Tabla37[[#This Row],[P3 + P6]]</f>
        <v>111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YEAR(Tabla37[[#This Row],[Fecha final]])</f>
        <v>2022</v>
      </c>
    </row>
    <row r="30" spans="1:14">
      <c r="A30" s="17">
        <v>44633</v>
      </c>
      <c r="B30" s="17">
        <v>44663</v>
      </c>
      <c r="C30" s="16">
        <v>30</v>
      </c>
      <c r="D30" s="16" t="s">
        <v>42</v>
      </c>
      <c r="E30" s="16">
        <v>341</v>
      </c>
      <c r="F30" s="16">
        <v>247</v>
      </c>
      <c r="G30" s="16">
        <v>98</v>
      </c>
      <c r="H30" s="16">
        <f>SUM(Tabla37[[#This Row],[P1 + P4]:[P2 + P5]])</f>
        <v>588</v>
      </c>
      <c r="I30" s="16">
        <f>Tabla37[[#This Row],[P3 + P6]]</f>
        <v>98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YEAR(Tabla37[[#This Row],[Fecha final]])</f>
        <v>2022</v>
      </c>
    </row>
    <row r="31" spans="1:14">
      <c r="A31" s="17">
        <v>44663</v>
      </c>
      <c r="B31" s="17">
        <v>44693</v>
      </c>
      <c r="C31" s="16">
        <v>30</v>
      </c>
      <c r="D31" s="16" t="s">
        <v>42</v>
      </c>
      <c r="E31" s="16">
        <v>192</v>
      </c>
      <c r="F31" s="16">
        <v>132</v>
      </c>
      <c r="G31" s="16">
        <v>93</v>
      </c>
      <c r="H31" s="16">
        <f>SUM(Tabla37[[#This Row],[P1 + P4]:[P2 + P5]])</f>
        <v>324</v>
      </c>
      <c r="I31" s="16">
        <f>Tabla37[[#This Row],[P3 + P6]]</f>
        <v>93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YEAR(Tabla37[[#This Row],[Fecha final]])</f>
        <v>2022</v>
      </c>
    </row>
    <row r="32" spans="1:14">
      <c r="A32" s="17">
        <v>44693</v>
      </c>
      <c r="B32" s="17">
        <v>44725</v>
      </c>
      <c r="C32" s="16">
        <v>32</v>
      </c>
      <c r="D32" s="16" t="s">
        <v>42</v>
      </c>
      <c r="E32" s="16">
        <v>107</v>
      </c>
      <c r="F32" s="16">
        <v>90</v>
      </c>
      <c r="G32" s="16">
        <v>128</v>
      </c>
      <c r="H32" s="16">
        <f>SUM(Tabla37[[#This Row],[P1 + P4]:[P2 + P5]])</f>
        <v>197</v>
      </c>
      <c r="I32" s="16">
        <f>Tabla37[[#This Row],[P3 + P6]]</f>
        <v>128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YEAR(Tabla37[[#This Row],[Fecha final]])</f>
        <v>2022</v>
      </c>
    </row>
    <row r="33" spans="1:14">
      <c r="A33" s="17">
        <v>44725</v>
      </c>
      <c r="B33" s="17">
        <v>44754</v>
      </c>
      <c r="C33" s="16">
        <v>29</v>
      </c>
      <c r="D33" s="16" t="s">
        <v>42</v>
      </c>
      <c r="E33" s="16">
        <v>142</v>
      </c>
      <c r="F33" s="16">
        <v>112</v>
      </c>
      <c r="G33" s="16">
        <v>136</v>
      </c>
      <c r="H33" s="16">
        <f>SUM(Tabla37[[#This Row],[P1 + P4]:[P2 + P5]])</f>
        <v>254</v>
      </c>
      <c r="I33" s="16">
        <f>Tabla37[[#This Row],[P3 + P6]]</f>
        <v>136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YEAR(Tabla37[[#This Row],[Fecha final]])</f>
        <v>2022</v>
      </c>
    </row>
    <row r="34" spans="1:14">
      <c r="A34" s="17">
        <v>44754</v>
      </c>
      <c r="B34" s="17">
        <v>44784</v>
      </c>
      <c r="C34" s="16">
        <v>30</v>
      </c>
      <c r="D34" s="16" t="s">
        <v>42</v>
      </c>
      <c r="E34" s="16">
        <v>232</v>
      </c>
      <c r="F34" s="16">
        <v>200</v>
      </c>
      <c r="G34" s="16">
        <v>136</v>
      </c>
      <c r="H34" s="16">
        <f>SUM(Tabla37[[#This Row],[P1 + P4]:[P2 + P5]])</f>
        <v>432</v>
      </c>
      <c r="I34" s="16">
        <f>Tabla37[[#This Row],[P3 + P6]]</f>
        <v>136</v>
      </c>
      <c r="J34" s="16" t="s">
        <v>156</v>
      </c>
      <c r="K34" s="16" t="s">
        <v>156</v>
      </c>
      <c r="L34" s="16" t="s">
        <v>156</v>
      </c>
      <c r="M34" s="16" t="s">
        <v>156</v>
      </c>
      <c r="N34" s="16">
        <f>YEAR(Tabla37[[#This Row],[Fecha final]])</f>
        <v>2022</v>
      </c>
    </row>
    <row r="35" spans="1:14">
      <c r="A35" s="17">
        <v>44784</v>
      </c>
      <c r="B35" s="17">
        <v>44817</v>
      </c>
      <c r="C35" s="16">
        <v>33</v>
      </c>
      <c r="D35" s="16" t="s">
        <v>42</v>
      </c>
      <c r="E35" s="16">
        <v>120</v>
      </c>
      <c r="F35" s="16">
        <v>97</v>
      </c>
      <c r="G35" s="16">
        <v>164</v>
      </c>
      <c r="H35" s="16">
        <f>SUM(Tabla37[[#This Row],[P1 + P4]:[P2 + P5]])</f>
        <v>217</v>
      </c>
      <c r="I35" s="16">
        <f>Tabla37[[#This Row],[P3 + P6]]</f>
        <v>164</v>
      </c>
      <c r="J35" s="16" t="s">
        <v>156</v>
      </c>
      <c r="K35" s="16" t="s">
        <v>156</v>
      </c>
      <c r="L35" s="16" t="s">
        <v>156</v>
      </c>
      <c r="M35" s="16" t="s">
        <v>156</v>
      </c>
      <c r="N35" s="16">
        <f>YEAR(Tabla37[[#This Row],[Fecha final]])</f>
        <v>2022</v>
      </c>
    </row>
    <row r="36" spans="1:14">
      <c r="A36" s="17">
        <v>44817</v>
      </c>
      <c r="B36" s="17">
        <v>44847</v>
      </c>
      <c r="C36" s="16">
        <v>30</v>
      </c>
      <c r="D36" s="16" t="s">
        <v>42</v>
      </c>
      <c r="E36" s="16">
        <v>120</v>
      </c>
      <c r="F36" s="16">
        <v>92</v>
      </c>
      <c r="G36" s="16">
        <v>145</v>
      </c>
      <c r="H36" s="16">
        <f>SUM(Tabla37[[#This Row],[P1 + P4]:[P2 + P5]])</f>
        <v>212</v>
      </c>
      <c r="I36" s="16">
        <f>Tabla37[[#This Row],[P3 + P6]]</f>
        <v>145</v>
      </c>
      <c r="J36" s="16" t="s">
        <v>156</v>
      </c>
      <c r="K36" s="16" t="s">
        <v>156</v>
      </c>
      <c r="L36" s="16" t="s">
        <v>156</v>
      </c>
      <c r="M36" s="16" t="s">
        <v>156</v>
      </c>
      <c r="N36" s="16">
        <f>YEAR(Tabla37[[#This Row],[Fecha final]])</f>
        <v>2022</v>
      </c>
    </row>
    <row r="37" spans="1:14">
      <c r="A37" s="17">
        <v>44847</v>
      </c>
      <c r="B37" s="17">
        <v>44878</v>
      </c>
      <c r="C37" s="16">
        <v>31</v>
      </c>
      <c r="D37" s="16" t="s">
        <v>42</v>
      </c>
      <c r="E37" s="16">
        <v>164</v>
      </c>
      <c r="F37" s="16">
        <v>124</v>
      </c>
      <c r="G37" s="16">
        <v>167</v>
      </c>
      <c r="H37" s="16">
        <f>SUM(Tabla37[[#This Row],[P1 + P4]:[P2 + P5]])</f>
        <v>288</v>
      </c>
      <c r="I37" s="16">
        <f>Tabla37[[#This Row],[P3 + P6]]</f>
        <v>167</v>
      </c>
      <c r="J37" s="16" t="s">
        <v>156</v>
      </c>
      <c r="K37" s="16" t="s">
        <v>156</v>
      </c>
      <c r="L37" s="16" t="s">
        <v>156</v>
      </c>
      <c r="M37" s="16" t="s">
        <v>156</v>
      </c>
      <c r="N37" s="16">
        <f>YEAR(Tabla37[[#This Row],[Fecha final]])</f>
        <v>2022</v>
      </c>
    </row>
    <row r="38" spans="1:14">
      <c r="A38" s="17">
        <v>44878</v>
      </c>
      <c r="B38" s="17">
        <v>44909</v>
      </c>
      <c r="C38" s="16">
        <v>31</v>
      </c>
      <c r="D38" s="16" t="s">
        <v>42</v>
      </c>
      <c r="E38" s="16">
        <v>321</v>
      </c>
      <c r="F38" s="16">
        <v>230</v>
      </c>
      <c r="G38" s="16">
        <v>167</v>
      </c>
      <c r="H38" s="16">
        <f>SUM(Tabla37[[#This Row],[P1 + P4]:[P2 + P5]])</f>
        <v>551</v>
      </c>
      <c r="I38" s="16">
        <f>Tabla37[[#This Row],[P3 + P6]]</f>
        <v>167</v>
      </c>
      <c r="J38" s="16" t="s">
        <v>156</v>
      </c>
      <c r="K38" s="16" t="s">
        <v>156</v>
      </c>
      <c r="L38" s="16" t="s">
        <v>156</v>
      </c>
      <c r="M38" s="16" t="s">
        <v>156</v>
      </c>
      <c r="N38" s="16">
        <f>YEAR(Tabla37[[#This Row],[Fecha final]])</f>
        <v>2022</v>
      </c>
    </row>
    <row r="39" spans="1:14">
      <c r="A39" s="17">
        <v>44909</v>
      </c>
      <c r="B39" s="17">
        <v>44938</v>
      </c>
      <c r="C39" s="16">
        <v>29</v>
      </c>
      <c r="D39" s="16" t="s">
        <v>42</v>
      </c>
      <c r="E39" s="16">
        <v>316</v>
      </c>
      <c r="F39" s="16">
        <v>239</v>
      </c>
      <c r="G39" s="16">
        <v>161</v>
      </c>
      <c r="H39" s="16">
        <f>SUM(Tabla37[[#This Row],[P1 + P4]:[P2 + P5]])</f>
        <v>555</v>
      </c>
      <c r="I39" s="16">
        <f>Tabla37[[#This Row],[P3 + P6]]</f>
        <v>161</v>
      </c>
      <c r="J39" s="16" t="s">
        <v>156</v>
      </c>
      <c r="K39" s="16" t="s">
        <v>156</v>
      </c>
      <c r="L39" s="16" t="s">
        <v>156</v>
      </c>
      <c r="M39" s="16" t="s">
        <v>156</v>
      </c>
      <c r="N39" s="16">
        <f>YEAR(Tabla37[[#This Row],[Fecha final]])</f>
        <v>2023</v>
      </c>
    </row>
    <row r="40" spans="1:14">
      <c r="A40" s="17">
        <v>44938</v>
      </c>
      <c r="B40" s="17">
        <v>44969</v>
      </c>
      <c r="C40" s="16">
        <v>31</v>
      </c>
      <c r="D40" s="16" t="s">
        <v>42</v>
      </c>
      <c r="E40" s="16">
        <v>636</v>
      </c>
      <c r="F40" s="16">
        <v>399</v>
      </c>
      <c r="G40" s="16">
        <v>177</v>
      </c>
      <c r="H40" s="16">
        <f>SUM(Tabla37[[#This Row],[P1 + P4]:[P2 + P5]])</f>
        <v>1035</v>
      </c>
      <c r="I40" s="16">
        <f>Tabla37[[#This Row],[P3 + P6]]</f>
        <v>177</v>
      </c>
      <c r="J40" s="16" t="s">
        <v>156</v>
      </c>
      <c r="K40" s="16" t="s">
        <v>156</v>
      </c>
      <c r="L40" s="16" t="s">
        <v>156</v>
      </c>
      <c r="M40" s="16" t="s">
        <v>156</v>
      </c>
      <c r="N40" s="16">
        <f>YEAR(Tabla37[[#This Row],[Fecha final]])</f>
        <v>2023</v>
      </c>
    </row>
    <row r="41" spans="1:14">
      <c r="A41" s="17">
        <v>44969</v>
      </c>
      <c r="B41" s="17">
        <v>44998</v>
      </c>
      <c r="C41" s="16">
        <v>29</v>
      </c>
      <c r="D41" s="16" t="s">
        <v>42</v>
      </c>
      <c r="E41" s="16">
        <v>530</v>
      </c>
      <c r="F41" s="16">
        <v>279</v>
      </c>
      <c r="G41" s="16">
        <v>107</v>
      </c>
      <c r="H41" s="16">
        <f>SUM(Tabla37[[#This Row],[P1 + P4]:[P2 + P5]])</f>
        <v>809</v>
      </c>
      <c r="I41" s="16">
        <f>Tabla37[[#This Row],[P3 + P6]]</f>
        <v>107</v>
      </c>
      <c r="J41" s="16" t="s">
        <v>156</v>
      </c>
      <c r="K41" s="16" t="s">
        <v>156</v>
      </c>
      <c r="L41" s="16" t="s">
        <v>156</v>
      </c>
      <c r="M41" s="16" t="s">
        <v>156</v>
      </c>
      <c r="N41" s="16">
        <f>YEAR(Tabla37[[#This Row],[Fecha final]])</f>
        <v>2023</v>
      </c>
    </row>
    <row r="42" spans="1:14">
      <c r="A42" s="17">
        <v>44998</v>
      </c>
      <c r="B42" s="17">
        <v>45028</v>
      </c>
      <c r="C42" s="16">
        <v>30</v>
      </c>
      <c r="D42" s="16" t="s">
        <v>42</v>
      </c>
      <c r="E42" s="16">
        <v>248</v>
      </c>
      <c r="F42" s="16">
        <v>146</v>
      </c>
      <c r="G42" s="16">
        <v>87</v>
      </c>
      <c r="H42" s="16">
        <f>SUM(Tabla37[[#This Row],[P1 + P4]:[P2 + P5]])</f>
        <v>394</v>
      </c>
      <c r="I42" s="16">
        <f>Tabla37[[#This Row],[P3 + P6]]</f>
        <v>87</v>
      </c>
      <c r="J42" s="16" t="s">
        <v>156</v>
      </c>
      <c r="K42" s="16" t="s">
        <v>156</v>
      </c>
      <c r="L42" s="16" t="s">
        <v>156</v>
      </c>
      <c r="M42" s="16" t="s">
        <v>156</v>
      </c>
      <c r="N42" s="16">
        <f>YEAR(Tabla37[[#This Row],[Fecha final]])</f>
        <v>2023</v>
      </c>
    </row>
    <row r="45" spans="1:14">
      <c r="A45" s="16" t="s">
        <v>77</v>
      </c>
    </row>
    <row r="47" spans="1:14">
      <c r="A47" s="16" t="s">
        <v>37</v>
      </c>
      <c r="B47" s="16" t="s">
        <v>38</v>
      </c>
      <c r="C47" s="16" t="s">
        <v>39</v>
      </c>
      <c r="D47" s="16" t="s">
        <v>40</v>
      </c>
      <c r="E47" s="16" t="s">
        <v>32</v>
      </c>
      <c r="F47" s="16" t="s">
        <v>33</v>
      </c>
      <c r="G47" s="16" t="s">
        <v>34</v>
      </c>
    </row>
    <row r="48" spans="1:14">
      <c r="A48" s="16" t="s">
        <v>480</v>
      </c>
      <c r="B48" s="16" t="s">
        <v>481</v>
      </c>
      <c r="C48" s="16">
        <v>30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452</v>
      </c>
      <c r="B49" s="16" t="s">
        <v>480</v>
      </c>
      <c r="C49" s="16">
        <v>29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482</v>
      </c>
      <c r="B50" s="16" t="s">
        <v>452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453</v>
      </c>
      <c r="B51" s="16" t="s">
        <v>482</v>
      </c>
      <c r="C51" s="16">
        <v>29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454</v>
      </c>
      <c r="B52" s="16" t="s">
        <v>453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292</v>
      </c>
      <c r="B53" s="16" t="s">
        <v>454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105</v>
      </c>
      <c r="B54" s="16" t="s">
        <v>292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411</v>
      </c>
      <c r="B55" s="16" t="s">
        <v>105</v>
      </c>
      <c r="C55" s="16">
        <v>33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398</v>
      </c>
      <c r="B56" s="16" t="s">
        <v>411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483</v>
      </c>
      <c r="B57" s="16" t="s">
        <v>398</v>
      </c>
      <c r="C57" s="16">
        <v>29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484</v>
      </c>
      <c r="B58" s="16" t="s">
        <v>483</v>
      </c>
      <c r="C58" s="16">
        <v>32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110</v>
      </c>
      <c r="B59" s="16" t="s">
        <v>484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485</v>
      </c>
      <c r="B60" s="16" t="s">
        <v>110</v>
      </c>
      <c r="C60" s="16">
        <v>30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486</v>
      </c>
      <c r="B61" s="16" t="s">
        <v>485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113</v>
      </c>
      <c r="B62" s="16" t="s">
        <v>486</v>
      </c>
      <c r="C62" s="16">
        <v>28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487</v>
      </c>
      <c r="B63" s="16" t="s">
        <v>113</v>
      </c>
      <c r="C63" s="16">
        <v>31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115</v>
      </c>
      <c r="B64" s="16" t="s">
        <v>487</v>
      </c>
      <c r="C64" s="16">
        <v>10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488</v>
      </c>
      <c r="B65" s="16" t="s">
        <v>115</v>
      </c>
      <c r="C65" s="16">
        <v>22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489</v>
      </c>
      <c r="B66" s="16" t="s">
        <v>488</v>
      </c>
      <c r="C66" s="16">
        <v>29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490</v>
      </c>
      <c r="B67" s="16" t="s">
        <v>489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441</v>
      </c>
      <c r="B68" s="16" t="s">
        <v>490</v>
      </c>
      <c r="C68" s="16">
        <v>27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491</v>
      </c>
      <c r="B69" s="16" t="s">
        <v>441</v>
      </c>
      <c r="C69" s="16">
        <v>35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492</v>
      </c>
      <c r="B70" s="16" t="s">
        <v>491</v>
      </c>
      <c r="C70" s="16">
        <v>30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51</v>
      </c>
      <c r="B71" s="16" t="s">
        <v>492</v>
      </c>
      <c r="C71" s="16">
        <v>13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493</v>
      </c>
      <c r="B72" s="16" t="s">
        <v>51</v>
      </c>
      <c r="C72" s="16">
        <v>19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494</v>
      </c>
      <c r="B73" s="16" t="s">
        <v>493</v>
      </c>
      <c r="C73" s="16">
        <v>27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495</v>
      </c>
      <c r="B74" s="16" t="s">
        <v>494</v>
      </c>
      <c r="C74" s="16">
        <v>35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496</v>
      </c>
      <c r="B75" s="16" t="s">
        <v>495</v>
      </c>
      <c r="C75" s="16">
        <v>32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497</v>
      </c>
      <c r="B76" s="16" t="s">
        <v>496</v>
      </c>
      <c r="C76" s="16">
        <v>27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357</v>
      </c>
      <c r="B77" s="16" t="s">
        <v>497</v>
      </c>
      <c r="C77" s="16">
        <v>32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498</v>
      </c>
      <c r="B78" s="16" t="s">
        <v>357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499</v>
      </c>
      <c r="B79" s="16" t="s">
        <v>498</v>
      </c>
      <c r="C79" s="16">
        <v>29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500</v>
      </c>
      <c r="B80" s="16" t="s">
        <v>499</v>
      </c>
      <c r="C80" s="16">
        <v>30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501</v>
      </c>
      <c r="B81" s="16" t="s">
        <v>500</v>
      </c>
      <c r="C81" s="16">
        <v>32</v>
      </c>
      <c r="D81" s="16" t="s">
        <v>42</v>
      </c>
      <c r="E81" s="16">
        <v>0</v>
      </c>
      <c r="F81" s="16">
        <v>0</v>
      </c>
      <c r="G81" s="16">
        <v>0</v>
      </c>
    </row>
    <row r="82" spans="1:7">
      <c r="A82" s="16" t="s">
        <v>502</v>
      </c>
      <c r="B82" s="16" t="s">
        <v>501</v>
      </c>
      <c r="C82" s="16">
        <v>30</v>
      </c>
      <c r="D82" s="16" t="s">
        <v>42</v>
      </c>
      <c r="E82" s="16">
        <v>0</v>
      </c>
      <c r="F82" s="16">
        <v>0</v>
      </c>
      <c r="G82" s="16">
        <v>0</v>
      </c>
    </row>
    <row r="83" spans="1:7">
      <c r="A83" s="16" t="s">
        <v>503</v>
      </c>
      <c r="B83" s="16" t="s">
        <v>502</v>
      </c>
      <c r="C83" s="16">
        <v>32</v>
      </c>
      <c r="D83" s="16" t="s">
        <v>42</v>
      </c>
      <c r="E83" s="16">
        <v>0</v>
      </c>
      <c r="F83" s="16">
        <v>0</v>
      </c>
      <c r="G83" s="16">
        <v>0</v>
      </c>
    </row>
    <row r="86" spans="1:7">
      <c r="A86" s="16" t="s">
        <v>79</v>
      </c>
    </row>
    <row r="88" spans="1:7">
      <c r="A88" s="16" t="s">
        <v>80</v>
      </c>
      <c r="B88" s="16" t="s">
        <v>81</v>
      </c>
      <c r="C88" s="16" t="s">
        <v>82</v>
      </c>
      <c r="D88" s="16" t="s">
        <v>83</v>
      </c>
    </row>
    <row r="89" spans="1:7">
      <c r="A89" s="16" t="s">
        <v>84</v>
      </c>
      <c r="B89" s="16">
        <v>10.35</v>
      </c>
      <c r="C89" s="16">
        <v>10.35</v>
      </c>
      <c r="D89" s="16">
        <v>0</v>
      </c>
    </row>
    <row r="90" spans="1:7">
      <c r="A90" s="16" t="s">
        <v>37</v>
      </c>
      <c r="B90" s="16" t="s">
        <v>38</v>
      </c>
      <c r="C90" s="16" t="s">
        <v>39</v>
      </c>
      <c r="D90" s="16" t="s">
        <v>40</v>
      </c>
      <c r="E90" s="16" t="s">
        <v>81</v>
      </c>
      <c r="F90" s="16" t="s">
        <v>82</v>
      </c>
      <c r="G90" s="16" t="s">
        <v>83</v>
      </c>
    </row>
    <row r="91" spans="1:7">
      <c r="A91" s="16" t="s">
        <v>480</v>
      </c>
      <c r="B91" s="16" t="s">
        <v>481</v>
      </c>
      <c r="C91" s="16">
        <v>30</v>
      </c>
      <c r="D91" s="16" t="s">
        <v>42</v>
      </c>
      <c r="E91" s="16">
        <v>7.71</v>
      </c>
      <c r="F91" s="16">
        <v>9.0150000000000006</v>
      </c>
      <c r="G91" s="16">
        <v>7.93</v>
      </c>
    </row>
    <row r="92" spans="1:7">
      <c r="A92" s="16" t="s">
        <v>452</v>
      </c>
      <c r="B92" s="16" t="s">
        <v>480</v>
      </c>
      <c r="C92" s="16">
        <v>29</v>
      </c>
      <c r="D92" s="16" t="s">
        <v>42</v>
      </c>
      <c r="E92" s="16">
        <v>11.113</v>
      </c>
      <c r="F92" s="16">
        <v>11.167</v>
      </c>
      <c r="G92" s="16">
        <v>6.6</v>
      </c>
    </row>
    <row r="93" spans="1:7">
      <c r="A93" s="16" t="s">
        <v>482</v>
      </c>
      <c r="B93" s="16" t="s">
        <v>452</v>
      </c>
      <c r="C93" s="16">
        <v>31</v>
      </c>
      <c r="D93" s="16" t="s">
        <v>42</v>
      </c>
      <c r="E93" s="16">
        <v>10.884</v>
      </c>
      <c r="F93" s="16">
        <v>11.162000000000001</v>
      </c>
      <c r="G93" s="16">
        <v>3.28</v>
      </c>
    </row>
    <row r="94" spans="1:7">
      <c r="A94" s="16" t="s">
        <v>453</v>
      </c>
      <c r="B94" s="16" t="s">
        <v>482</v>
      </c>
      <c r="C94" s="16">
        <v>29</v>
      </c>
      <c r="D94" s="16" t="s">
        <v>42</v>
      </c>
      <c r="E94" s="16">
        <v>0</v>
      </c>
      <c r="F94" s="16">
        <v>7.992</v>
      </c>
      <c r="G94" s="16">
        <v>8.4879999999999995</v>
      </c>
    </row>
    <row r="95" spans="1:7">
      <c r="A95" s="16" t="s">
        <v>454</v>
      </c>
      <c r="B95" s="16" t="s">
        <v>453</v>
      </c>
      <c r="C95" s="16">
        <v>31</v>
      </c>
      <c r="D95" s="16" t="s">
        <v>42</v>
      </c>
      <c r="E95" s="16">
        <v>9.9849999999999994</v>
      </c>
      <c r="F95" s="16">
        <v>5.734</v>
      </c>
      <c r="G95" s="16">
        <v>0</v>
      </c>
    </row>
    <row r="96" spans="1:7">
      <c r="A96" s="16" t="s">
        <v>292</v>
      </c>
      <c r="B96" s="16" t="s">
        <v>454</v>
      </c>
      <c r="C96" s="16">
        <v>31</v>
      </c>
      <c r="D96" s="16" t="s">
        <v>42</v>
      </c>
      <c r="E96" s="16">
        <v>3.6</v>
      </c>
      <c r="F96" s="16">
        <v>4.6079999999999997</v>
      </c>
      <c r="G96" s="16">
        <v>0</v>
      </c>
    </row>
    <row r="97" spans="1:7">
      <c r="A97" s="16" t="s">
        <v>105</v>
      </c>
      <c r="B97" s="16" t="s">
        <v>292</v>
      </c>
      <c r="C97" s="16">
        <v>30</v>
      </c>
      <c r="D97" s="16" t="s">
        <v>42</v>
      </c>
      <c r="E97" s="16">
        <v>4.0049999999999999</v>
      </c>
      <c r="F97" s="16">
        <v>2.2669999999999999</v>
      </c>
      <c r="G97" s="16">
        <v>0</v>
      </c>
    </row>
    <row r="98" spans="1:7">
      <c r="A98" s="16" t="s">
        <v>411</v>
      </c>
      <c r="B98" s="16" t="s">
        <v>105</v>
      </c>
      <c r="C98" s="16">
        <v>33</v>
      </c>
      <c r="D98" s="16" t="s">
        <v>42</v>
      </c>
      <c r="E98" s="16">
        <v>3.7749999999999999</v>
      </c>
      <c r="F98" s="16">
        <v>0</v>
      </c>
      <c r="G98" s="16">
        <v>0</v>
      </c>
    </row>
    <row r="99" spans="1:7">
      <c r="A99" s="16" t="s">
        <v>398</v>
      </c>
      <c r="B99" s="16" t="s">
        <v>411</v>
      </c>
      <c r="C99" s="16">
        <v>30</v>
      </c>
      <c r="D99" s="16" t="s">
        <v>42</v>
      </c>
      <c r="E99" s="16">
        <v>4.2869999999999999</v>
      </c>
      <c r="F99" s="16">
        <v>4.6059999999999999</v>
      </c>
      <c r="G99" s="16">
        <v>0</v>
      </c>
    </row>
    <row r="100" spans="1:7">
      <c r="A100" s="16" t="s">
        <v>483</v>
      </c>
      <c r="B100" s="16" t="s">
        <v>398</v>
      </c>
      <c r="C100" s="16">
        <v>29</v>
      </c>
      <c r="D100" s="16" t="s">
        <v>42</v>
      </c>
      <c r="E100" s="16">
        <v>4.2830000000000004</v>
      </c>
      <c r="F100" s="16">
        <v>3.9239999999999999</v>
      </c>
      <c r="G100" s="16">
        <v>0</v>
      </c>
    </row>
    <row r="101" spans="1:7">
      <c r="A101" s="16" t="s">
        <v>484</v>
      </c>
      <c r="B101" s="16" t="s">
        <v>483</v>
      </c>
      <c r="C101" s="16">
        <v>32</v>
      </c>
      <c r="D101" s="16" t="s">
        <v>42</v>
      </c>
      <c r="E101" s="16">
        <v>0</v>
      </c>
      <c r="F101" s="16">
        <v>0</v>
      </c>
      <c r="G101" s="16">
        <v>1.042</v>
      </c>
    </row>
    <row r="102" spans="1:7">
      <c r="A102" s="16" t="s">
        <v>110</v>
      </c>
      <c r="B102" s="16" t="s">
        <v>484</v>
      </c>
      <c r="C102" s="16">
        <v>30</v>
      </c>
      <c r="D102" s="16" t="s">
        <v>42</v>
      </c>
      <c r="E102" s="16">
        <v>2.92</v>
      </c>
      <c r="F102" s="16">
        <v>3.7850000000000001</v>
      </c>
      <c r="G102" s="16">
        <v>0</v>
      </c>
    </row>
    <row r="103" spans="1:7">
      <c r="A103" s="16" t="s">
        <v>485</v>
      </c>
      <c r="B103" s="16" t="s">
        <v>110</v>
      </c>
      <c r="C103" s="16">
        <v>30</v>
      </c>
      <c r="D103" s="16" t="s">
        <v>42</v>
      </c>
      <c r="E103" s="16">
        <v>9.1549999999999994</v>
      </c>
      <c r="F103" s="16">
        <v>7.9950000000000001</v>
      </c>
      <c r="G103" s="16">
        <v>0</v>
      </c>
    </row>
    <row r="104" spans="1:7">
      <c r="A104" s="16" t="s">
        <v>486</v>
      </c>
      <c r="B104" s="16" t="s">
        <v>485</v>
      </c>
      <c r="C104" s="16">
        <v>31</v>
      </c>
      <c r="D104" s="16" t="s">
        <v>42</v>
      </c>
      <c r="E104" s="16">
        <v>7.93</v>
      </c>
      <c r="F104" s="16">
        <v>0</v>
      </c>
      <c r="G104" s="16">
        <v>3.6259999999999999</v>
      </c>
    </row>
    <row r="105" spans="1:7">
      <c r="A105" s="16" t="s">
        <v>113</v>
      </c>
      <c r="B105" s="16" t="s">
        <v>486</v>
      </c>
      <c r="C105" s="16">
        <v>28</v>
      </c>
      <c r="D105" s="16" t="s">
        <v>42</v>
      </c>
      <c r="E105" s="16">
        <v>8.3879999999999999</v>
      </c>
      <c r="F105" s="16">
        <v>8.4600000000000009</v>
      </c>
      <c r="G105" s="16">
        <v>0</v>
      </c>
    </row>
    <row r="106" spans="1:7">
      <c r="A106" s="16" t="s">
        <v>487</v>
      </c>
      <c r="B106" s="16" t="s">
        <v>113</v>
      </c>
      <c r="C106" s="16">
        <v>31</v>
      </c>
      <c r="D106" s="16" t="s">
        <v>42</v>
      </c>
      <c r="E106" s="16">
        <v>0</v>
      </c>
      <c r="F106" s="16">
        <v>0</v>
      </c>
      <c r="G106" s="16">
        <v>1.0489999999999999</v>
      </c>
    </row>
    <row r="107" spans="1:7">
      <c r="A107" s="16" t="s">
        <v>115</v>
      </c>
      <c r="B107" s="16" t="s">
        <v>487</v>
      </c>
      <c r="C107" s="16">
        <v>10</v>
      </c>
      <c r="D107" s="16" t="s">
        <v>42</v>
      </c>
      <c r="E107" s="16">
        <v>8.3140000000000001</v>
      </c>
      <c r="F107" s="16">
        <v>8.5960000000000001</v>
      </c>
      <c r="G107" s="16">
        <v>1.097</v>
      </c>
    </row>
    <row r="108" spans="1:7">
      <c r="A108" s="16" t="s">
        <v>488</v>
      </c>
      <c r="B108" s="16" t="s">
        <v>115</v>
      </c>
      <c r="C108" s="16">
        <v>22</v>
      </c>
      <c r="D108" s="16" t="s">
        <v>42</v>
      </c>
      <c r="E108" s="16">
        <v>7.8550000000000004</v>
      </c>
      <c r="F108" s="16">
        <v>7.008</v>
      </c>
      <c r="G108" s="16">
        <v>1.0740000000000001</v>
      </c>
    </row>
    <row r="109" spans="1:7">
      <c r="A109" s="16" t="s">
        <v>489</v>
      </c>
      <c r="B109" s="16" t="s">
        <v>488</v>
      </c>
      <c r="C109" s="16">
        <v>29</v>
      </c>
      <c r="D109" s="16" t="s">
        <v>42</v>
      </c>
      <c r="E109" s="16">
        <v>0</v>
      </c>
      <c r="F109" s="16">
        <v>0</v>
      </c>
      <c r="G109" s="16">
        <v>0</v>
      </c>
    </row>
    <row r="110" spans="1:7">
      <c r="A110" s="16" t="s">
        <v>490</v>
      </c>
      <c r="B110" s="16" t="s">
        <v>489</v>
      </c>
      <c r="C110" s="16">
        <v>30</v>
      </c>
      <c r="D110" s="16" t="s">
        <v>42</v>
      </c>
      <c r="E110" s="16">
        <v>2.6669999999999998</v>
      </c>
      <c r="F110" s="16">
        <v>3.964</v>
      </c>
      <c r="G110" s="16">
        <v>1.0329999999999999</v>
      </c>
    </row>
    <row r="111" spans="1:7">
      <c r="A111" s="16" t="s">
        <v>441</v>
      </c>
      <c r="B111" s="16" t="s">
        <v>490</v>
      </c>
      <c r="C111" s="16">
        <v>27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491</v>
      </c>
      <c r="B112" s="16" t="s">
        <v>441</v>
      </c>
      <c r="C112" s="16">
        <v>35</v>
      </c>
      <c r="D112" s="16" t="s">
        <v>42</v>
      </c>
      <c r="E112" s="16">
        <v>4.3250000000000002</v>
      </c>
      <c r="F112" s="16">
        <v>3.9740000000000002</v>
      </c>
      <c r="G112" s="16">
        <v>1.143</v>
      </c>
    </row>
    <row r="113" spans="1:7">
      <c r="A113" s="16" t="s">
        <v>492</v>
      </c>
      <c r="B113" s="16" t="s">
        <v>491</v>
      </c>
      <c r="C113" s="16">
        <v>30</v>
      </c>
      <c r="D113" s="16" t="s">
        <v>42</v>
      </c>
      <c r="E113" s="16">
        <v>4.0369999999999999</v>
      </c>
      <c r="F113" s="16">
        <v>0</v>
      </c>
      <c r="G113" s="16">
        <v>1.0760000000000001</v>
      </c>
    </row>
    <row r="114" spans="1:7">
      <c r="A114" s="16" t="s">
        <v>51</v>
      </c>
      <c r="B114" s="16" t="s">
        <v>492</v>
      </c>
      <c r="C114" s="16">
        <v>13</v>
      </c>
      <c r="D114" s="16" t="s">
        <v>42</v>
      </c>
      <c r="E114" s="16">
        <v>1.65</v>
      </c>
      <c r="F114" s="16">
        <v>4.2709999999999999</v>
      </c>
      <c r="G114" s="16">
        <v>0</v>
      </c>
    </row>
    <row r="115" spans="1:7">
      <c r="A115" s="16" t="s">
        <v>493</v>
      </c>
      <c r="B115" s="16" t="s">
        <v>51</v>
      </c>
      <c r="C115" s="16">
        <v>19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494</v>
      </c>
      <c r="B116" s="16" t="s">
        <v>493</v>
      </c>
      <c r="C116" s="16">
        <v>27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495</v>
      </c>
      <c r="B117" s="16" t="s">
        <v>494</v>
      </c>
      <c r="C117" s="16">
        <v>35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496</v>
      </c>
      <c r="B118" s="16" t="s">
        <v>495</v>
      </c>
      <c r="C118" s="16">
        <v>32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497</v>
      </c>
      <c r="B119" s="16" t="s">
        <v>496</v>
      </c>
      <c r="C119" s="16">
        <v>27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357</v>
      </c>
      <c r="B120" s="16" t="s">
        <v>497</v>
      </c>
      <c r="C120" s="16">
        <v>32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498</v>
      </c>
      <c r="B121" s="16" t="s">
        <v>357</v>
      </c>
      <c r="C121" s="16">
        <v>29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499</v>
      </c>
      <c r="B122" s="16" t="s">
        <v>498</v>
      </c>
      <c r="C122" s="16">
        <v>29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500</v>
      </c>
      <c r="B123" s="16" t="s">
        <v>499</v>
      </c>
      <c r="C123" s="16">
        <v>30</v>
      </c>
      <c r="D123" s="16" t="s">
        <v>42</v>
      </c>
      <c r="E123" s="16">
        <v>0</v>
      </c>
      <c r="F123" s="16">
        <v>0</v>
      </c>
      <c r="G123" s="16">
        <v>0</v>
      </c>
    </row>
    <row r="124" spans="1:7">
      <c r="A124" s="16" t="s">
        <v>501</v>
      </c>
      <c r="B124" s="16" t="s">
        <v>500</v>
      </c>
      <c r="C124" s="16">
        <v>32</v>
      </c>
      <c r="D124" s="16" t="s">
        <v>42</v>
      </c>
      <c r="E124" s="16">
        <v>0</v>
      </c>
      <c r="F124" s="16">
        <v>0</v>
      </c>
      <c r="G124" s="16">
        <v>0</v>
      </c>
    </row>
    <row r="125" spans="1:7">
      <c r="A125" s="16" t="s">
        <v>502</v>
      </c>
      <c r="B125" s="16" t="s">
        <v>501</v>
      </c>
      <c r="C125" s="16">
        <v>30</v>
      </c>
      <c r="D125" s="16" t="s">
        <v>42</v>
      </c>
      <c r="E125" s="16">
        <v>0</v>
      </c>
      <c r="F125" s="16">
        <v>0</v>
      </c>
      <c r="G125" s="16">
        <v>0</v>
      </c>
    </row>
    <row r="126" spans="1:7">
      <c r="A126" s="16" t="s">
        <v>503</v>
      </c>
      <c r="B126" s="16" t="s">
        <v>502</v>
      </c>
      <c r="C126" s="16">
        <v>32</v>
      </c>
      <c r="D126" s="16" t="s">
        <v>42</v>
      </c>
      <c r="E126" s="16">
        <v>0</v>
      </c>
      <c r="F126" s="16">
        <v>0</v>
      </c>
      <c r="G126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DFEB-AF07-4F29-9EF6-996881C09BB5}">
  <dimension ref="A1:N123"/>
  <sheetViews>
    <sheetView workbookViewId="0">
      <selection activeCell="K10" sqref="K10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504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4574</v>
      </c>
      <c r="C4" s="16">
        <v>3942</v>
      </c>
      <c r="D4" s="16">
        <v>3161</v>
      </c>
    </row>
    <row r="5" spans="1:14">
      <c r="A5" s="16" t="s">
        <v>36</v>
      </c>
      <c r="B5" s="16">
        <v>39</v>
      </c>
      <c r="C5" s="16">
        <v>34</v>
      </c>
      <c r="D5" s="16">
        <v>27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44005</v>
      </c>
      <c r="B7" s="17">
        <v>44035</v>
      </c>
      <c r="C7" s="16">
        <v>30</v>
      </c>
      <c r="D7" s="16" t="s">
        <v>42</v>
      </c>
      <c r="E7" s="16">
        <v>231</v>
      </c>
      <c r="F7" s="16">
        <v>677</v>
      </c>
      <c r="G7" s="16">
        <v>0</v>
      </c>
      <c r="H7" s="16">
        <f>SUM(Tabla39[[#This Row],[P1 + P4]:[P2 + P5]])</f>
        <v>908</v>
      </c>
      <c r="I7" s="16">
        <f>Tabla39[[#This Row],[P3 + P6]]</f>
        <v>0</v>
      </c>
      <c r="N7" s="16">
        <f>YEAR(Tabla3[[#This Row],[Fecha final]])</f>
        <v>2020</v>
      </c>
    </row>
    <row r="8" spans="1:14">
      <c r="A8" s="17">
        <v>44035</v>
      </c>
      <c r="B8" s="17">
        <v>44068</v>
      </c>
      <c r="C8" s="16">
        <v>33</v>
      </c>
      <c r="D8" s="16" t="s">
        <v>42</v>
      </c>
      <c r="E8" s="16">
        <v>298</v>
      </c>
      <c r="F8" s="16">
        <v>775</v>
      </c>
      <c r="G8" s="16">
        <v>0</v>
      </c>
      <c r="H8" s="16">
        <f>SUM(Tabla39[[#This Row],[P1 + P4]:[P2 + P5]])</f>
        <v>1073</v>
      </c>
      <c r="I8" s="16">
        <f>Tabla39[[#This Row],[P3 + P6]]</f>
        <v>0</v>
      </c>
      <c r="N8" s="16">
        <f>YEAR(Tabla3[[#This Row],[Fecha final]])</f>
        <v>2020</v>
      </c>
    </row>
    <row r="9" spans="1:14">
      <c r="A9" s="17">
        <v>44068</v>
      </c>
      <c r="B9" s="17">
        <v>44097</v>
      </c>
      <c r="C9" s="16">
        <v>29</v>
      </c>
      <c r="D9" s="16" t="s">
        <v>42</v>
      </c>
      <c r="E9" s="16">
        <v>272</v>
      </c>
      <c r="F9" s="16">
        <v>552</v>
      </c>
      <c r="G9" s="16">
        <v>0</v>
      </c>
      <c r="H9" s="16">
        <f>SUM(Tabla39[[#This Row],[P1 + P4]:[P2 + P5]])</f>
        <v>824</v>
      </c>
      <c r="I9" s="16">
        <f>Tabla39[[#This Row],[P3 + P6]]</f>
        <v>0</v>
      </c>
      <c r="N9" s="16">
        <f>YEAR(Tabla3[[#This Row],[Fecha final]])</f>
        <v>2020</v>
      </c>
    </row>
    <row r="10" spans="1:14">
      <c r="A10" s="17">
        <v>44097</v>
      </c>
      <c r="B10" s="17">
        <v>44130</v>
      </c>
      <c r="C10" s="16">
        <v>33</v>
      </c>
      <c r="D10" s="16" t="s">
        <v>42</v>
      </c>
      <c r="E10" s="16">
        <v>355</v>
      </c>
      <c r="F10" s="16">
        <v>504</v>
      </c>
      <c r="G10" s="16">
        <v>0</v>
      </c>
      <c r="H10" s="16">
        <f>SUM(Tabla39[[#This Row],[P1 + P4]:[P2 + P5]])</f>
        <v>859</v>
      </c>
      <c r="I10" s="16">
        <f>Tabla39[[#This Row],[P3 + P6]]</f>
        <v>0</v>
      </c>
      <c r="N10" s="16">
        <f>YEAR(Tabla3[[#This Row],[Fecha final]])</f>
        <v>2020</v>
      </c>
    </row>
    <row r="11" spans="1:14">
      <c r="A11" s="17">
        <v>44130</v>
      </c>
      <c r="B11" s="17">
        <v>44159</v>
      </c>
      <c r="C11" s="16">
        <v>29</v>
      </c>
      <c r="D11" s="16" t="s">
        <v>42</v>
      </c>
      <c r="E11" s="16">
        <v>387</v>
      </c>
      <c r="F11" s="16">
        <v>512</v>
      </c>
      <c r="G11" s="16">
        <v>0</v>
      </c>
      <c r="H11" s="16">
        <f>SUM(Tabla39[[#This Row],[P1 + P4]:[P2 + P5]])</f>
        <v>899</v>
      </c>
      <c r="I11" s="16">
        <f>Tabla39[[#This Row],[P3 + P6]]</f>
        <v>0</v>
      </c>
      <c r="N11" s="16">
        <f>YEAR(Tabla3[[#This Row],[Fecha final]])</f>
        <v>2020</v>
      </c>
    </row>
    <row r="12" spans="1:14">
      <c r="A12" s="17">
        <v>44159</v>
      </c>
      <c r="B12" s="17">
        <v>44193</v>
      </c>
      <c r="C12" s="16">
        <v>34</v>
      </c>
      <c r="D12" s="16" t="s">
        <v>42</v>
      </c>
      <c r="E12" s="16">
        <v>585</v>
      </c>
      <c r="F12" s="16">
        <v>765</v>
      </c>
      <c r="G12" s="16">
        <v>0</v>
      </c>
      <c r="H12" s="16">
        <f>SUM(Tabla39[[#This Row],[P1 + P4]:[P2 + P5]])</f>
        <v>1350</v>
      </c>
      <c r="I12" s="16">
        <f>Tabla39[[#This Row],[P3 + P6]]</f>
        <v>0</v>
      </c>
      <c r="N12" s="16">
        <f>YEAR(Tabla3[[#This Row],[Fecha final]])</f>
        <v>2020</v>
      </c>
    </row>
    <row r="13" spans="1:14">
      <c r="A13" s="17">
        <v>44193</v>
      </c>
      <c r="B13" s="17">
        <v>44223</v>
      </c>
      <c r="C13" s="16">
        <v>30</v>
      </c>
      <c r="D13" s="16" t="s">
        <v>42</v>
      </c>
      <c r="E13" s="16">
        <v>642</v>
      </c>
      <c r="F13" s="16">
        <v>869</v>
      </c>
      <c r="G13" s="16">
        <v>0</v>
      </c>
      <c r="H13" s="16">
        <f>SUM(Tabla39[[#This Row],[P1 + P4]:[P2 + P5]])</f>
        <v>1511</v>
      </c>
      <c r="I13" s="16">
        <f>Tabla39[[#This Row],[P3 + P6]]</f>
        <v>0</v>
      </c>
      <c r="N13" s="16">
        <f>YEAR(Tabla3[[#This Row],[Fecha final]])</f>
        <v>2021</v>
      </c>
    </row>
    <row r="14" spans="1:14">
      <c r="A14" s="17">
        <v>44223</v>
      </c>
      <c r="B14" s="17">
        <v>44250</v>
      </c>
      <c r="C14" s="16">
        <v>27</v>
      </c>
      <c r="D14" s="16" t="s">
        <v>42</v>
      </c>
      <c r="E14" s="16">
        <v>492</v>
      </c>
      <c r="F14" s="16">
        <v>716</v>
      </c>
      <c r="G14" s="16">
        <v>0</v>
      </c>
      <c r="H14" s="16">
        <f>SUM(Tabla39[[#This Row],[P1 + P4]:[P2 + P5]])</f>
        <v>1208</v>
      </c>
      <c r="I14" s="16">
        <f>Tabla39[[#This Row],[P3 + P6]]</f>
        <v>0</v>
      </c>
      <c r="N14" s="16">
        <f>YEAR(Tabla3[[#This Row],[Fecha final]])</f>
        <v>2021</v>
      </c>
    </row>
    <row r="15" spans="1:14">
      <c r="A15" s="17">
        <v>44250</v>
      </c>
      <c r="B15" s="17">
        <v>44279</v>
      </c>
      <c r="C15" s="16">
        <v>29</v>
      </c>
      <c r="D15" s="16" t="s">
        <v>42</v>
      </c>
      <c r="E15" s="16">
        <v>541</v>
      </c>
      <c r="F15" s="16">
        <v>755</v>
      </c>
      <c r="G15" s="16">
        <v>0</v>
      </c>
      <c r="H15" s="16">
        <f>SUM(Tabla39[[#This Row],[P1 + P4]:[P2 + P5]])</f>
        <v>1296</v>
      </c>
      <c r="I15" s="16">
        <f>Tabla39[[#This Row],[P3 + P6]]</f>
        <v>0</v>
      </c>
      <c r="N15" s="16">
        <f>YEAR(Tabla3[[#This Row],[Fecha final]])</f>
        <v>2021</v>
      </c>
    </row>
    <row r="16" spans="1:14">
      <c r="A16" s="17">
        <v>44279</v>
      </c>
      <c r="B16" s="17">
        <v>44314</v>
      </c>
      <c r="C16" s="16">
        <v>35</v>
      </c>
      <c r="D16" s="16" t="s">
        <v>42</v>
      </c>
      <c r="E16" s="16">
        <v>573</v>
      </c>
      <c r="F16" s="16">
        <v>1016</v>
      </c>
      <c r="G16" s="16">
        <v>0</v>
      </c>
      <c r="H16" s="16">
        <f>SUM(Tabla39[[#This Row],[P1 + P4]:[P2 + P5]])</f>
        <v>1589</v>
      </c>
      <c r="I16" s="16">
        <f>Tabla39[[#This Row],[P3 + P6]]</f>
        <v>0</v>
      </c>
      <c r="N16" s="16">
        <f>YEAR(Tabla3[[#This Row],[Fecha final]])</f>
        <v>2021</v>
      </c>
    </row>
    <row r="17" spans="1:14">
      <c r="A17" s="17">
        <v>44314</v>
      </c>
      <c r="B17" s="17">
        <v>44341</v>
      </c>
      <c r="C17" s="16">
        <v>27</v>
      </c>
      <c r="D17" s="16" t="s">
        <v>42</v>
      </c>
      <c r="E17" s="16">
        <v>261</v>
      </c>
      <c r="F17" s="16">
        <v>421</v>
      </c>
      <c r="G17" s="16">
        <v>0</v>
      </c>
      <c r="H17" s="16">
        <f>SUM(Tabla39[[#This Row],[P1 + P4]:[P2 + P5]])</f>
        <v>682</v>
      </c>
      <c r="I17" s="16">
        <f>Tabla39[[#This Row],[P3 + P6]]</f>
        <v>0</v>
      </c>
      <c r="N17" s="16">
        <f>YEAR(Tabla3[[#This Row],[Fecha final]])</f>
        <v>2021</v>
      </c>
    </row>
    <row r="18" spans="1:14">
      <c r="A18" s="17">
        <v>44341</v>
      </c>
      <c r="B18" s="17">
        <v>44347</v>
      </c>
      <c r="C18" s="16">
        <v>6</v>
      </c>
      <c r="D18" s="16" t="s">
        <v>42</v>
      </c>
      <c r="E18" s="16">
        <v>58</v>
      </c>
      <c r="F18" s="16">
        <v>86</v>
      </c>
      <c r="G18" s="16">
        <v>0</v>
      </c>
      <c r="H18" s="16">
        <f>SUM(Tabla39[[#This Row],[P1 + P4]:[P2 + P5]])</f>
        <v>144</v>
      </c>
      <c r="I18" s="16">
        <f>Tabla39[[#This Row],[P3 + P6]]</f>
        <v>0</v>
      </c>
      <c r="N18" s="16">
        <f>YEAR(Tabla3[[#This Row],[Fecha final]])</f>
        <v>2021</v>
      </c>
    </row>
    <row r="19" spans="1:14">
      <c r="A19" s="17">
        <v>44347</v>
      </c>
      <c r="B19" s="17">
        <v>44369</v>
      </c>
      <c r="C19" s="16">
        <v>22</v>
      </c>
      <c r="D19" s="16" t="s">
        <v>42</v>
      </c>
      <c r="E19" s="16">
        <v>216</v>
      </c>
      <c r="F19" s="16">
        <v>156</v>
      </c>
      <c r="G19" s="16">
        <v>157</v>
      </c>
      <c r="H19" s="16">
        <f>SUM(Tabla39[[#This Row],[P1 + P4]:[P2 + P5]])</f>
        <v>372</v>
      </c>
      <c r="I19" s="16">
        <f>Tabla39[[#This Row],[P3 + P6]]</f>
        <v>157</v>
      </c>
      <c r="N19" s="16">
        <f>YEAR(Tabla3[[#This Row],[Fecha final]])</f>
        <v>2021</v>
      </c>
    </row>
    <row r="20" spans="1:14">
      <c r="A20" s="17">
        <v>44369</v>
      </c>
      <c r="B20" s="17">
        <v>44401</v>
      </c>
      <c r="C20" s="16">
        <v>32</v>
      </c>
      <c r="D20" s="16" t="s">
        <v>42</v>
      </c>
      <c r="E20" s="16">
        <v>359</v>
      </c>
      <c r="F20" s="16">
        <v>287</v>
      </c>
      <c r="G20" s="16">
        <v>256</v>
      </c>
      <c r="H20" s="16">
        <f>SUM(Tabla39[[#This Row],[P1 + P4]:[P2 + P5]])</f>
        <v>646</v>
      </c>
      <c r="I20" s="16">
        <f>Tabla39[[#This Row],[P3 + P6]]</f>
        <v>256</v>
      </c>
      <c r="N20" s="16">
        <f>YEAR(Tabla3[[#This Row],[Fecha final]])</f>
        <v>2021</v>
      </c>
    </row>
    <row r="21" spans="1:14">
      <c r="A21" s="17">
        <v>44401</v>
      </c>
      <c r="B21" s="17">
        <v>44432</v>
      </c>
      <c r="C21" s="16">
        <v>31</v>
      </c>
      <c r="D21" s="16" t="s">
        <v>42</v>
      </c>
      <c r="E21" s="16">
        <v>386</v>
      </c>
      <c r="F21" s="16">
        <v>306</v>
      </c>
      <c r="G21" s="16">
        <v>275</v>
      </c>
      <c r="H21" s="16">
        <f>SUM(Tabla39[[#This Row],[P1 + P4]:[P2 + P5]])</f>
        <v>692</v>
      </c>
      <c r="I21" s="16">
        <f>Tabla39[[#This Row],[P3 + P6]]</f>
        <v>275</v>
      </c>
      <c r="N21" s="16">
        <f>YEAR(Tabla3[[#This Row],[Fecha final]])</f>
        <v>2021</v>
      </c>
    </row>
    <row r="22" spans="1:14">
      <c r="A22" s="17">
        <v>44432</v>
      </c>
      <c r="B22" s="17">
        <v>44460</v>
      </c>
      <c r="C22" s="16">
        <v>28</v>
      </c>
      <c r="D22" s="16" t="s">
        <v>42</v>
      </c>
      <c r="E22" s="16">
        <v>330</v>
      </c>
      <c r="F22" s="16">
        <v>321</v>
      </c>
      <c r="G22" s="16">
        <v>211</v>
      </c>
      <c r="H22" s="16">
        <f>SUM(Tabla39[[#This Row],[P1 + P4]:[P2 + P5]])</f>
        <v>651</v>
      </c>
      <c r="I22" s="16">
        <f>Tabla39[[#This Row],[P3 + P6]]</f>
        <v>211</v>
      </c>
      <c r="N22" s="16">
        <f>YEAR(Tabla3[[#This Row],[Fecha final]])</f>
        <v>2021</v>
      </c>
    </row>
    <row r="23" spans="1:14">
      <c r="A23" s="17">
        <v>44460</v>
      </c>
      <c r="B23" s="17">
        <v>44494</v>
      </c>
      <c r="C23" s="16">
        <v>34</v>
      </c>
      <c r="D23" s="16" t="s">
        <v>42</v>
      </c>
      <c r="E23" s="16">
        <v>307</v>
      </c>
      <c r="F23" s="16">
        <v>315</v>
      </c>
      <c r="G23" s="16">
        <v>277</v>
      </c>
      <c r="H23" s="16">
        <f>SUM(Tabla39[[#This Row],[P1 + P4]:[P2 + P5]])</f>
        <v>622</v>
      </c>
      <c r="I23" s="16">
        <f>Tabla39[[#This Row],[P3 + P6]]</f>
        <v>277</v>
      </c>
      <c r="N23" s="16">
        <f>YEAR(Tabla3[[#This Row],[Fecha final]])</f>
        <v>2021</v>
      </c>
    </row>
    <row r="24" spans="1:14">
      <c r="A24" s="17">
        <v>44494</v>
      </c>
      <c r="B24" s="17">
        <v>44523</v>
      </c>
      <c r="C24" s="16">
        <v>29</v>
      </c>
      <c r="D24" s="16" t="s">
        <v>42</v>
      </c>
      <c r="E24" s="16">
        <v>407</v>
      </c>
      <c r="F24" s="16">
        <v>439</v>
      </c>
      <c r="G24" s="16">
        <v>251</v>
      </c>
      <c r="H24" s="16">
        <f>SUM(Tabla39[[#This Row],[P1 + P4]:[P2 + P5]])</f>
        <v>846</v>
      </c>
      <c r="I24" s="16">
        <f>Tabla39[[#This Row],[P3 + P6]]</f>
        <v>251</v>
      </c>
      <c r="N24" s="16">
        <f>YEAR(Tabla3[[#This Row],[Fecha final]])</f>
        <v>2021</v>
      </c>
    </row>
    <row r="25" spans="1:14">
      <c r="A25" s="17">
        <v>44523</v>
      </c>
      <c r="B25" s="17">
        <v>44533</v>
      </c>
      <c r="C25" s="16">
        <v>10</v>
      </c>
      <c r="D25" s="16" t="s">
        <v>42</v>
      </c>
      <c r="E25" s="16">
        <v>224</v>
      </c>
      <c r="F25" s="16">
        <v>271</v>
      </c>
      <c r="G25" s="16">
        <v>73</v>
      </c>
      <c r="H25" s="16">
        <f>SUM(Tabla39[[#This Row],[P1 + P4]:[P2 + P5]])</f>
        <v>495</v>
      </c>
      <c r="I25" s="16">
        <f>Tabla39[[#This Row],[P3 + P6]]</f>
        <v>73</v>
      </c>
      <c r="N25" s="16">
        <f>YEAR(Tabla3[[#This Row],[Fecha final]])</f>
        <v>2021</v>
      </c>
    </row>
    <row r="26" spans="1:14">
      <c r="A26" s="17">
        <v>44533</v>
      </c>
      <c r="B26" s="17">
        <v>44562</v>
      </c>
      <c r="C26" s="16">
        <v>29</v>
      </c>
      <c r="D26" s="16" t="s">
        <v>42</v>
      </c>
      <c r="E26" s="16">
        <v>418</v>
      </c>
      <c r="F26" s="16">
        <v>473</v>
      </c>
      <c r="G26" s="16">
        <v>358</v>
      </c>
      <c r="H26" s="16">
        <f>SUM(Tabla39[[#This Row],[P1 + P4]:[P2 + P5]])</f>
        <v>891</v>
      </c>
      <c r="I26" s="16">
        <f>Tabla39[[#This Row],[P3 + P6]]</f>
        <v>358</v>
      </c>
      <c r="N26" s="16">
        <f>YEAR(Tabla3[[#This Row],[Fecha final]])</f>
        <v>2021</v>
      </c>
    </row>
    <row r="27" spans="1:14">
      <c r="A27" s="17">
        <v>44562</v>
      </c>
      <c r="B27" s="17">
        <v>44579</v>
      </c>
      <c r="C27" s="16">
        <v>17</v>
      </c>
      <c r="D27" s="16" t="s">
        <v>42</v>
      </c>
      <c r="E27" s="16">
        <v>325</v>
      </c>
      <c r="F27" s="16">
        <v>249</v>
      </c>
      <c r="G27" s="16">
        <v>474</v>
      </c>
      <c r="H27" s="16">
        <f>SUM(Tabla39[[#This Row],[P1 + P4]:[P2 + P5]])</f>
        <v>574</v>
      </c>
      <c r="I27" s="16">
        <f>Tabla39[[#This Row],[P3 + P6]]</f>
        <v>474</v>
      </c>
      <c r="N27" s="16">
        <f>YEAR(Tabla3[[#This Row],[Fecha final]])</f>
        <v>2022</v>
      </c>
    </row>
    <row r="28" spans="1:14">
      <c r="A28" s="17">
        <v>44579</v>
      </c>
      <c r="B28" s="17">
        <v>44607</v>
      </c>
      <c r="C28" s="16">
        <v>28</v>
      </c>
      <c r="D28" s="16" t="s">
        <v>42</v>
      </c>
      <c r="E28" s="16">
        <v>656</v>
      </c>
      <c r="F28" s="16">
        <v>572</v>
      </c>
      <c r="G28" s="16">
        <v>289</v>
      </c>
      <c r="H28" s="16">
        <f>SUM(Tabla39[[#This Row],[P1 + P4]:[P2 + P5]])</f>
        <v>1228</v>
      </c>
      <c r="I28" s="16">
        <f>Tabla39[[#This Row],[P3 + P6]]</f>
        <v>289</v>
      </c>
      <c r="N28" s="16">
        <f>YEAR(Tabla3[[#This Row],[Fecha final]])</f>
        <v>2022</v>
      </c>
    </row>
    <row r="29" spans="1:14">
      <c r="A29" s="17">
        <v>44607</v>
      </c>
      <c r="B29" s="17">
        <v>44638</v>
      </c>
      <c r="C29" s="16">
        <v>31</v>
      </c>
      <c r="D29" s="16" t="s">
        <v>42</v>
      </c>
      <c r="E29" s="16">
        <v>519</v>
      </c>
      <c r="F29" s="16">
        <v>501</v>
      </c>
      <c r="G29" s="16">
        <v>306</v>
      </c>
      <c r="H29" s="16">
        <f>SUM(Tabla39[[#This Row],[P1 + P4]:[P2 + P5]])</f>
        <v>1020</v>
      </c>
      <c r="I29" s="16">
        <f>Tabla39[[#This Row],[P3 + P6]]</f>
        <v>306</v>
      </c>
      <c r="N29" s="16">
        <f>YEAR(Tabla3[[#This Row],[Fecha final]])</f>
        <v>2022</v>
      </c>
    </row>
    <row r="30" spans="1:14">
      <c r="A30" s="17">
        <v>44638</v>
      </c>
      <c r="B30" s="17">
        <v>44674</v>
      </c>
      <c r="C30" s="16">
        <v>36</v>
      </c>
      <c r="D30" s="16" t="s">
        <v>42</v>
      </c>
      <c r="E30" s="16">
        <v>486</v>
      </c>
      <c r="F30" s="16">
        <v>420</v>
      </c>
      <c r="G30" s="16">
        <v>322</v>
      </c>
      <c r="H30" s="16">
        <f>SUM(Tabla39[[#This Row],[P1 + P4]:[P2 + P5]])</f>
        <v>906</v>
      </c>
      <c r="I30" s="16">
        <f>Tabla39[[#This Row],[P3 + P6]]</f>
        <v>322</v>
      </c>
      <c r="N30" s="16">
        <f>YEAR(Tabla3[[#This Row],[Fecha final]])</f>
        <v>2022</v>
      </c>
    </row>
    <row r="31" spans="1:14">
      <c r="A31" s="17">
        <v>44674</v>
      </c>
      <c r="B31" s="17">
        <v>44698</v>
      </c>
      <c r="C31" s="16">
        <v>24</v>
      </c>
      <c r="D31" s="16" t="s">
        <v>42</v>
      </c>
      <c r="E31" s="16">
        <v>224</v>
      </c>
      <c r="F31" s="16">
        <v>185</v>
      </c>
      <c r="G31" s="16">
        <v>198</v>
      </c>
      <c r="H31" s="16">
        <f>SUM(Tabla39[[#This Row],[P1 + P4]:[P2 + P5]])</f>
        <v>409</v>
      </c>
      <c r="I31" s="16">
        <f>Tabla39[[#This Row],[P3 + P6]]</f>
        <v>198</v>
      </c>
      <c r="N31" s="16">
        <f>YEAR(Tabla3[[#This Row],[Fecha final]])</f>
        <v>2022</v>
      </c>
    </row>
    <row r="32" spans="1:14">
      <c r="A32" s="17">
        <v>44698</v>
      </c>
      <c r="B32" s="17">
        <v>44730</v>
      </c>
      <c r="C32" s="16">
        <v>32</v>
      </c>
      <c r="D32" s="16" t="s">
        <v>42</v>
      </c>
      <c r="E32" s="16">
        <v>312</v>
      </c>
      <c r="F32" s="16">
        <v>249</v>
      </c>
      <c r="G32" s="16">
        <v>245</v>
      </c>
      <c r="H32" s="16">
        <f>SUM(Tabla39[[#This Row],[P1 + P4]:[P2 + P5]])</f>
        <v>561</v>
      </c>
      <c r="I32" s="16">
        <f>Tabla39[[#This Row],[P3 + P6]]</f>
        <v>245</v>
      </c>
      <c r="N32" s="16">
        <f>YEAR(Tabla3[[#This Row],[Fecha final]])</f>
        <v>2022</v>
      </c>
    </row>
    <row r="33" spans="1:14">
      <c r="A33" s="17">
        <v>44730</v>
      </c>
      <c r="B33" s="17">
        <v>44760</v>
      </c>
      <c r="C33" s="16">
        <v>30</v>
      </c>
      <c r="D33" s="16" t="s">
        <v>42</v>
      </c>
      <c r="E33" s="16">
        <v>354</v>
      </c>
      <c r="F33" s="16">
        <v>303</v>
      </c>
      <c r="G33" s="16">
        <v>249</v>
      </c>
      <c r="H33" s="16">
        <f>SUM(Tabla39[[#This Row],[P1 + P4]:[P2 + P5]])</f>
        <v>657</v>
      </c>
      <c r="I33" s="16">
        <f>Tabla39[[#This Row],[P3 + P6]]</f>
        <v>249</v>
      </c>
      <c r="N33" s="16">
        <f>YEAR(Tabla3[[#This Row],[Fecha final]])</f>
        <v>2022</v>
      </c>
    </row>
    <row r="34" spans="1:14">
      <c r="A34" s="17">
        <v>44760</v>
      </c>
      <c r="B34" s="17">
        <v>44789</v>
      </c>
      <c r="C34" s="16">
        <v>29</v>
      </c>
      <c r="D34" s="16" t="s">
        <v>42</v>
      </c>
      <c r="E34" s="16">
        <v>386</v>
      </c>
      <c r="F34" s="16">
        <v>350</v>
      </c>
      <c r="G34" s="16">
        <v>273</v>
      </c>
      <c r="H34" s="16">
        <f>SUM(Tabla39[[#This Row],[P1 + P4]:[P2 + P5]])</f>
        <v>736</v>
      </c>
      <c r="I34" s="16">
        <f>Tabla39[[#This Row],[P3 + P6]]</f>
        <v>273</v>
      </c>
      <c r="N34" s="16">
        <f>YEAR(Tabla3[[#This Row],[Fecha final]])</f>
        <v>2022</v>
      </c>
    </row>
    <row r="35" spans="1:14">
      <c r="A35" s="17">
        <v>44789</v>
      </c>
      <c r="B35" s="17">
        <v>44822</v>
      </c>
      <c r="C35" s="16">
        <v>33</v>
      </c>
      <c r="D35" s="16" t="s">
        <v>42</v>
      </c>
      <c r="E35" s="16">
        <v>385</v>
      </c>
      <c r="F35" s="16">
        <v>378</v>
      </c>
      <c r="G35" s="16">
        <v>298</v>
      </c>
      <c r="H35" s="16">
        <f>SUM(Tabla39[[#This Row],[P1 + P4]:[P2 + P5]])</f>
        <v>763</v>
      </c>
      <c r="I35" s="16">
        <f>Tabla39[[#This Row],[P3 + P6]]</f>
        <v>298</v>
      </c>
      <c r="N35" s="16">
        <f>YEAR(Tabla3[[#This Row],[Fecha final]])</f>
        <v>2022</v>
      </c>
    </row>
    <row r="36" spans="1:14">
      <c r="A36" s="17">
        <v>44822</v>
      </c>
      <c r="B36" s="17">
        <v>44852</v>
      </c>
      <c r="C36" s="16">
        <v>30</v>
      </c>
      <c r="D36" s="16" t="s">
        <v>42</v>
      </c>
      <c r="E36" s="16">
        <v>246</v>
      </c>
      <c r="F36" s="16">
        <v>209</v>
      </c>
      <c r="G36" s="16">
        <v>231</v>
      </c>
      <c r="H36" s="16">
        <f>SUM(Tabla39[[#This Row],[P1 + P4]:[P2 + P5]])</f>
        <v>455</v>
      </c>
      <c r="I36" s="16">
        <f>Tabla39[[#This Row],[P3 + P6]]</f>
        <v>231</v>
      </c>
      <c r="N36" s="16">
        <f>YEAR(Tabla3[[#This Row],[Fecha final]])</f>
        <v>2022</v>
      </c>
    </row>
    <row r="37" spans="1:14">
      <c r="A37" s="17">
        <v>44852</v>
      </c>
      <c r="B37" s="17">
        <v>44884</v>
      </c>
      <c r="C37" s="16">
        <v>32</v>
      </c>
      <c r="D37" s="16" t="s">
        <v>42</v>
      </c>
      <c r="E37" s="16">
        <v>234</v>
      </c>
      <c r="F37" s="16">
        <v>197</v>
      </c>
      <c r="G37" s="16">
        <v>259</v>
      </c>
      <c r="H37" s="16">
        <f>SUM(Tabla39[[#This Row],[P1 + P4]:[P2 + P5]])</f>
        <v>431</v>
      </c>
      <c r="I37" s="16">
        <f>Tabla39[[#This Row],[P3 + P6]]</f>
        <v>259</v>
      </c>
      <c r="N37" s="16">
        <f>YEAR(Tabla3[[#This Row],[Fecha final]])</f>
        <v>2022</v>
      </c>
    </row>
    <row r="38" spans="1:14">
      <c r="A38" s="17">
        <v>44884</v>
      </c>
      <c r="B38" s="17">
        <v>44915</v>
      </c>
      <c r="C38" s="16">
        <v>31</v>
      </c>
      <c r="D38" s="16" t="s">
        <v>42</v>
      </c>
      <c r="E38" s="16">
        <v>355</v>
      </c>
      <c r="F38" s="16">
        <v>294</v>
      </c>
      <c r="G38" s="16">
        <v>269</v>
      </c>
      <c r="H38" s="16">
        <f>SUM(Tabla39[[#This Row],[P1 + P4]:[P2 + P5]])</f>
        <v>649</v>
      </c>
      <c r="I38" s="16">
        <f>Tabla39[[#This Row],[P3 + P6]]</f>
        <v>269</v>
      </c>
      <c r="N38" s="16">
        <f>YEAR(Tabla3[[#This Row],[Fecha final]])</f>
        <v>2022</v>
      </c>
    </row>
    <row r="39" spans="1:14">
      <c r="A39" s="17">
        <v>44915</v>
      </c>
      <c r="B39" s="17">
        <v>44944</v>
      </c>
      <c r="C39" s="16">
        <v>29</v>
      </c>
      <c r="D39" s="16" t="s">
        <v>42</v>
      </c>
      <c r="E39" s="16">
        <v>468</v>
      </c>
      <c r="F39" s="16">
        <v>390</v>
      </c>
      <c r="G39" s="16">
        <v>271</v>
      </c>
      <c r="H39" s="16">
        <f>SUM(Tabla39[[#This Row],[P1 + P4]:[P2 + P5]])</f>
        <v>858</v>
      </c>
      <c r="I39" s="16">
        <f>Tabla39[[#This Row],[P3 + P6]]</f>
        <v>271</v>
      </c>
      <c r="N39" s="16">
        <f>YEAR(Tabla3[[#This Row],[Fecha final]])</f>
        <v>2023</v>
      </c>
    </row>
    <row r="40" spans="1:14">
      <c r="A40" s="17">
        <v>44944</v>
      </c>
      <c r="B40" s="17">
        <v>44974</v>
      </c>
      <c r="C40" s="16">
        <v>30</v>
      </c>
      <c r="D40" s="16" t="s">
        <v>42</v>
      </c>
      <c r="E40" s="16">
        <v>717</v>
      </c>
      <c r="F40" s="16">
        <v>592</v>
      </c>
      <c r="G40" s="16">
        <v>285</v>
      </c>
      <c r="H40" s="16">
        <f>SUM(Tabla39[[#This Row],[P1 + P4]:[P2 + P5]])</f>
        <v>1309</v>
      </c>
      <c r="I40" s="16">
        <f>Tabla39[[#This Row],[P3 + P6]]</f>
        <v>285</v>
      </c>
      <c r="N40" s="16">
        <f>YEAR(Tabla3[[#This Row],[Fecha final]])</f>
        <v>2023</v>
      </c>
    </row>
    <row r="41" spans="1:14">
      <c r="A41" s="17">
        <v>44974</v>
      </c>
      <c r="B41" s="17">
        <v>45003</v>
      </c>
      <c r="C41" s="16">
        <v>29</v>
      </c>
      <c r="D41" s="16" t="s">
        <v>42</v>
      </c>
      <c r="E41" s="16">
        <v>407</v>
      </c>
      <c r="F41" s="16">
        <v>375</v>
      </c>
      <c r="G41" s="16">
        <v>261</v>
      </c>
      <c r="H41" s="16">
        <f>SUM(Tabla39[[#This Row],[P1 + P4]:[P2 + P5]])</f>
        <v>782</v>
      </c>
      <c r="I41" s="16">
        <f>Tabla39[[#This Row],[P3 + P6]]</f>
        <v>261</v>
      </c>
      <c r="N41" s="16">
        <f>YEAR(Tabla3[[#This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505</v>
      </c>
      <c r="B47" s="16" t="s">
        <v>506</v>
      </c>
      <c r="C47" s="16">
        <v>29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507</v>
      </c>
      <c r="B48" s="16" t="s">
        <v>505</v>
      </c>
      <c r="C48" s="16">
        <v>30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508</v>
      </c>
      <c r="B49" s="16" t="s">
        <v>507</v>
      </c>
      <c r="C49" s="16">
        <v>29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509</v>
      </c>
      <c r="B50" s="16" t="s">
        <v>508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510</v>
      </c>
      <c r="B51" s="16" t="s">
        <v>509</v>
      </c>
      <c r="C51" s="16">
        <v>32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511</v>
      </c>
      <c r="B52" s="16" t="s">
        <v>510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429</v>
      </c>
      <c r="B53" s="16" t="s">
        <v>511</v>
      </c>
      <c r="C53" s="16">
        <v>33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512</v>
      </c>
      <c r="B54" s="16" t="s">
        <v>429</v>
      </c>
      <c r="C54" s="16">
        <v>29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513</v>
      </c>
      <c r="B55" s="16" t="s">
        <v>512</v>
      </c>
      <c r="C55" s="16">
        <v>30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514</v>
      </c>
      <c r="B56" s="16" t="s">
        <v>513</v>
      </c>
      <c r="C56" s="16">
        <v>32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515</v>
      </c>
      <c r="B57" s="16" t="s">
        <v>514</v>
      </c>
      <c r="C57" s="16">
        <v>24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516</v>
      </c>
      <c r="B58" s="16" t="s">
        <v>515</v>
      </c>
      <c r="C58" s="16">
        <v>36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517</v>
      </c>
      <c r="B59" s="16" t="s">
        <v>516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518</v>
      </c>
      <c r="B60" s="16" t="s">
        <v>517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456</v>
      </c>
      <c r="B61" s="16" t="s">
        <v>518</v>
      </c>
      <c r="C61" s="16">
        <v>17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115</v>
      </c>
      <c r="B62" s="16" t="s">
        <v>456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116</v>
      </c>
      <c r="B63" s="16" t="s">
        <v>115</v>
      </c>
      <c r="C63" s="16">
        <v>10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117</v>
      </c>
      <c r="B64" s="16" t="s">
        <v>116</v>
      </c>
      <c r="C64" s="16">
        <v>29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402</v>
      </c>
      <c r="B65" s="16" t="s">
        <v>117</v>
      </c>
      <c r="C65" s="16">
        <v>34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248</v>
      </c>
      <c r="B66" s="16" t="s">
        <v>402</v>
      </c>
      <c r="C66" s="16">
        <v>28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472</v>
      </c>
      <c r="B67" s="16" t="s">
        <v>248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519</v>
      </c>
      <c r="B68" s="16" t="s">
        <v>472</v>
      </c>
      <c r="C68" s="16">
        <v>32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519</v>
      </c>
      <c r="C69" s="16">
        <v>22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122</v>
      </c>
      <c r="B70" s="16" t="s">
        <v>51</v>
      </c>
      <c r="C70" s="16">
        <v>6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49</v>
      </c>
      <c r="B71" s="16" t="s">
        <v>122</v>
      </c>
      <c r="C71" s="16">
        <v>27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473</v>
      </c>
      <c r="B72" s="16" t="s">
        <v>49</v>
      </c>
      <c r="C72" s="16">
        <v>35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125</v>
      </c>
      <c r="B73" s="16" t="s">
        <v>473</v>
      </c>
      <c r="C73" s="16">
        <v>29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126</v>
      </c>
      <c r="B74" s="16" t="s">
        <v>125</v>
      </c>
      <c r="C74" s="16">
        <v>27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475</v>
      </c>
      <c r="B75" s="16" t="s">
        <v>126</v>
      </c>
      <c r="C75" s="16">
        <v>30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128</v>
      </c>
      <c r="B76" s="16" t="s">
        <v>475</v>
      </c>
      <c r="C76" s="16">
        <v>34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129</v>
      </c>
      <c r="B77" s="16" t="s">
        <v>128</v>
      </c>
      <c r="C77" s="16">
        <v>29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406</v>
      </c>
      <c r="B78" s="16" t="s">
        <v>129</v>
      </c>
      <c r="C78" s="16">
        <v>33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137</v>
      </c>
      <c r="B79" s="16" t="s">
        <v>406</v>
      </c>
      <c r="C79" s="16">
        <v>29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387</v>
      </c>
      <c r="B80" s="16" t="s">
        <v>137</v>
      </c>
      <c r="C80" s="16">
        <v>33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285</v>
      </c>
      <c r="B81" s="16" t="s">
        <v>387</v>
      </c>
      <c r="C81" s="16">
        <v>30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14.2</v>
      </c>
      <c r="C87" s="16">
        <v>14.2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505</v>
      </c>
      <c r="B89" s="16" t="s">
        <v>506</v>
      </c>
      <c r="C89" s="16">
        <v>29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507</v>
      </c>
      <c r="B90" s="16" t="s">
        <v>505</v>
      </c>
      <c r="C90" s="16">
        <v>30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508</v>
      </c>
      <c r="B91" s="16" t="s">
        <v>507</v>
      </c>
      <c r="C91" s="16">
        <v>29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509</v>
      </c>
      <c r="B92" s="16" t="s">
        <v>508</v>
      </c>
      <c r="C92" s="16">
        <v>31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510</v>
      </c>
      <c r="B93" s="16" t="s">
        <v>509</v>
      </c>
      <c r="C93" s="16">
        <v>32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511</v>
      </c>
      <c r="B94" s="16" t="s">
        <v>510</v>
      </c>
      <c r="C94" s="16">
        <v>30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429</v>
      </c>
      <c r="B95" s="16" t="s">
        <v>511</v>
      </c>
      <c r="C95" s="16">
        <v>33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512</v>
      </c>
      <c r="B96" s="16" t="s">
        <v>429</v>
      </c>
      <c r="C96" s="16">
        <v>29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513</v>
      </c>
      <c r="B97" s="16" t="s">
        <v>512</v>
      </c>
      <c r="C97" s="16">
        <v>30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514</v>
      </c>
      <c r="B98" s="16" t="s">
        <v>513</v>
      </c>
      <c r="C98" s="16">
        <v>32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515</v>
      </c>
      <c r="B99" s="16" t="s">
        <v>514</v>
      </c>
      <c r="C99" s="16">
        <v>24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516</v>
      </c>
      <c r="B100" s="16" t="s">
        <v>515</v>
      </c>
      <c r="C100" s="16">
        <v>36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517</v>
      </c>
      <c r="B101" s="16" t="s">
        <v>516</v>
      </c>
      <c r="C101" s="16">
        <v>31</v>
      </c>
      <c r="D101" s="16" t="s">
        <v>42</v>
      </c>
      <c r="E101" s="16">
        <v>14.2</v>
      </c>
      <c r="F101" s="16">
        <v>14.2</v>
      </c>
      <c r="G101" s="16">
        <v>0</v>
      </c>
    </row>
    <row r="102" spans="1:7">
      <c r="A102" s="16" t="s">
        <v>518</v>
      </c>
      <c r="B102" s="16" t="s">
        <v>517</v>
      </c>
      <c r="C102" s="16">
        <v>28</v>
      </c>
      <c r="D102" s="16" t="s">
        <v>42</v>
      </c>
      <c r="E102" s="16">
        <v>14.2</v>
      </c>
      <c r="F102" s="16">
        <v>14.2</v>
      </c>
      <c r="G102" s="16">
        <v>0</v>
      </c>
    </row>
    <row r="103" spans="1:7">
      <c r="A103" s="16" t="s">
        <v>456</v>
      </c>
      <c r="B103" s="16" t="s">
        <v>518</v>
      </c>
      <c r="C103" s="16">
        <v>17</v>
      </c>
      <c r="D103" s="16" t="s">
        <v>42</v>
      </c>
      <c r="E103" s="16">
        <v>14.2</v>
      </c>
      <c r="F103" s="16">
        <v>14.2</v>
      </c>
      <c r="G103" s="16">
        <v>0</v>
      </c>
    </row>
    <row r="104" spans="1:7">
      <c r="A104" s="16" t="s">
        <v>115</v>
      </c>
      <c r="B104" s="16" t="s">
        <v>456</v>
      </c>
      <c r="C104" s="16">
        <v>29</v>
      </c>
      <c r="D104" s="16" t="s">
        <v>42</v>
      </c>
      <c r="E104" s="16">
        <v>14.2</v>
      </c>
      <c r="F104" s="16">
        <v>14.2</v>
      </c>
      <c r="G104" s="16">
        <v>0</v>
      </c>
    </row>
    <row r="105" spans="1:7">
      <c r="A105" s="16" t="s">
        <v>116</v>
      </c>
      <c r="B105" s="16" t="s">
        <v>115</v>
      </c>
      <c r="C105" s="16">
        <v>10</v>
      </c>
      <c r="D105" s="16" t="s">
        <v>42</v>
      </c>
      <c r="E105" s="16">
        <v>14.2</v>
      </c>
      <c r="F105" s="16">
        <v>14.2</v>
      </c>
      <c r="G105" s="16">
        <v>0</v>
      </c>
    </row>
    <row r="106" spans="1:7">
      <c r="A106" s="16" t="s">
        <v>117</v>
      </c>
      <c r="B106" s="16" t="s">
        <v>116</v>
      </c>
      <c r="C106" s="16">
        <v>29</v>
      </c>
      <c r="D106" s="16" t="s">
        <v>42</v>
      </c>
      <c r="E106" s="16">
        <v>14.2</v>
      </c>
      <c r="F106" s="16">
        <v>14.2</v>
      </c>
      <c r="G106" s="16">
        <v>0</v>
      </c>
    </row>
    <row r="107" spans="1:7">
      <c r="A107" s="16" t="s">
        <v>402</v>
      </c>
      <c r="B107" s="16" t="s">
        <v>117</v>
      </c>
      <c r="C107" s="16">
        <v>34</v>
      </c>
      <c r="D107" s="16" t="s">
        <v>42</v>
      </c>
      <c r="E107" s="16">
        <v>14.2</v>
      </c>
      <c r="F107" s="16">
        <v>14.2</v>
      </c>
      <c r="G107" s="16">
        <v>0</v>
      </c>
    </row>
    <row r="108" spans="1:7">
      <c r="A108" s="16" t="s">
        <v>248</v>
      </c>
      <c r="B108" s="16" t="s">
        <v>402</v>
      </c>
      <c r="C108" s="16">
        <v>28</v>
      </c>
      <c r="D108" s="16" t="s">
        <v>42</v>
      </c>
      <c r="E108" s="16">
        <v>14.2</v>
      </c>
      <c r="F108" s="16">
        <v>14.2</v>
      </c>
      <c r="G108" s="16">
        <v>0</v>
      </c>
    </row>
    <row r="109" spans="1:7">
      <c r="A109" s="16" t="s">
        <v>472</v>
      </c>
      <c r="B109" s="16" t="s">
        <v>248</v>
      </c>
      <c r="C109" s="16">
        <v>31</v>
      </c>
      <c r="D109" s="16" t="s">
        <v>42</v>
      </c>
      <c r="E109" s="16">
        <v>14.2</v>
      </c>
      <c r="F109" s="16">
        <v>14.2</v>
      </c>
      <c r="G109" s="16">
        <v>0</v>
      </c>
    </row>
    <row r="110" spans="1:7">
      <c r="A110" s="16" t="s">
        <v>519</v>
      </c>
      <c r="B110" s="16" t="s">
        <v>472</v>
      </c>
      <c r="C110" s="16">
        <v>32</v>
      </c>
      <c r="D110" s="16" t="s">
        <v>42</v>
      </c>
      <c r="E110" s="16">
        <v>14.2</v>
      </c>
      <c r="F110" s="16">
        <v>14.2</v>
      </c>
      <c r="G110" s="16">
        <v>0</v>
      </c>
    </row>
    <row r="111" spans="1:7">
      <c r="A111" s="16" t="s">
        <v>51</v>
      </c>
      <c r="B111" s="16" t="s">
        <v>519</v>
      </c>
      <c r="C111" s="16">
        <v>22</v>
      </c>
      <c r="D111" s="16" t="s">
        <v>42</v>
      </c>
      <c r="E111" s="16">
        <v>14.2</v>
      </c>
      <c r="F111" s="16">
        <v>14.2</v>
      </c>
      <c r="G111" s="16">
        <v>0</v>
      </c>
    </row>
    <row r="112" spans="1:7">
      <c r="A112" s="16" t="s">
        <v>122</v>
      </c>
      <c r="B112" s="16" t="s">
        <v>51</v>
      </c>
      <c r="C112" s="16">
        <v>6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49</v>
      </c>
      <c r="B113" s="16" t="s">
        <v>122</v>
      </c>
      <c r="C113" s="16">
        <v>27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473</v>
      </c>
      <c r="B114" s="16" t="s">
        <v>49</v>
      </c>
      <c r="C114" s="16">
        <v>35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125</v>
      </c>
      <c r="B115" s="16" t="s">
        <v>473</v>
      </c>
      <c r="C115" s="16">
        <v>29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126</v>
      </c>
      <c r="B116" s="16" t="s">
        <v>125</v>
      </c>
      <c r="C116" s="16">
        <v>27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475</v>
      </c>
      <c r="B117" s="16" t="s">
        <v>126</v>
      </c>
      <c r="C117" s="16">
        <v>30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128</v>
      </c>
      <c r="B118" s="16" t="s">
        <v>475</v>
      </c>
      <c r="C118" s="16">
        <v>34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129</v>
      </c>
      <c r="B119" s="16" t="s">
        <v>128</v>
      </c>
      <c r="C119" s="16">
        <v>29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406</v>
      </c>
      <c r="B120" s="16" t="s">
        <v>129</v>
      </c>
      <c r="C120" s="16">
        <v>33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137</v>
      </c>
      <c r="B121" s="16" t="s">
        <v>406</v>
      </c>
      <c r="C121" s="16">
        <v>29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387</v>
      </c>
      <c r="B122" s="16" t="s">
        <v>137</v>
      </c>
      <c r="C122" s="16">
        <v>33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285</v>
      </c>
      <c r="B123" s="16" t="s">
        <v>387</v>
      </c>
      <c r="C123" s="16">
        <v>30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737E9-3D1A-46E1-AE52-E9CA709B38D4}">
  <dimension ref="A1:N123"/>
  <sheetViews>
    <sheetView topLeftCell="A13" workbookViewId="0">
      <selection activeCell="E26" sqref="E26:E37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520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4477</v>
      </c>
      <c r="C4" s="16">
        <v>3478</v>
      </c>
      <c r="D4" s="16">
        <v>3745</v>
      </c>
    </row>
    <row r="5" spans="1:14">
      <c r="A5" s="16" t="s">
        <v>36</v>
      </c>
      <c r="B5" s="16">
        <v>38</v>
      </c>
      <c r="C5" s="16">
        <v>29</v>
      </c>
      <c r="D5" s="16">
        <v>32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7">
        <v>44043</v>
      </c>
      <c r="C7" s="16">
        <v>31</v>
      </c>
      <c r="D7" s="16" t="s">
        <v>42</v>
      </c>
      <c r="E7" s="16">
        <v>159</v>
      </c>
      <c r="F7" s="16">
        <v>277</v>
      </c>
      <c r="G7" s="16">
        <v>114</v>
      </c>
      <c r="H7" s="16">
        <f>Tabla38[[#This Row],[P1 + P4]]*VLOOKUP(MONTH(Tabla38[[#This Row],[Fecha final]]),Tabla20[#All],2,FALSE)</f>
        <v>159</v>
      </c>
      <c r="I7" s="16">
        <f>Tabla38[[#This Row],[P2 + P5]]*VLOOKUP(MONTH(Tabla38[[#This Row],[Fecha final]]),Tabla20[#All],3,FALSE)</f>
        <v>277</v>
      </c>
      <c r="J7" s="16">
        <f>(Tabla38[[#This Row],[P3 + P6]])*VLOOKUP(MONTH(Tabla38[[#This Row],[Fecha final]]),Tabla20[#All],4,FALSE)</f>
        <v>0</v>
      </c>
      <c r="K7" s="16">
        <f>Tabla38[[#This Row],[P1 + P4]]*VLOOKUP(MONTH(Tabla38[[#This Row],[Fecha final]]),Tabla20[#All],5,FALSE)</f>
        <v>0</v>
      </c>
      <c r="L7" s="16">
        <f>Tabla38[[#This Row],[P2 + P5]]*VLOOKUP(MONTH(Tabla38[[#This Row],[Fecha final]]),Tabla20[#All],6,FALSE)</f>
        <v>0</v>
      </c>
      <c r="M7" s="16">
        <f>Tabla38[[#This Row],[P3 + P6]]*VLOOKUP(MONTH(Tabla38[[#This Row],[Fecha final]]),Tabla20[#All],7,FALSE)</f>
        <v>114</v>
      </c>
      <c r="N7" s="16">
        <f>YEAR(Tabla3[[#This Row],[Fecha final]])</f>
        <v>2020</v>
      </c>
    </row>
    <row r="8" spans="1:14">
      <c r="A8" s="17">
        <v>44043</v>
      </c>
      <c r="B8" s="17">
        <v>44074</v>
      </c>
      <c r="C8" s="16">
        <v>31</v>
      </c>
      <c r="D8" s="16" t="s">
        <v>42</v>
      </c>
      <c r="E8" s="16">
        <v>156</v>
      </c>
      <c r="F8" s="16">
        <v>296</v>
      </c>
      <c r="G8" s="16">
        <v>101</v>
      </c>
      <c r="H8" s="16">
        <f>Tabla38[[#This Row],[P1 + P4]]*VLOOKUP(MONTH(Tabla38[[#This Row],[Fecha final]]),Tabla20[#All],2,FALSE)</f>
        <v>0</v>
      </c>
      <c r="I8" s="16">
        <f>Tabla38[[#This Row],[P2 + P5]]*VLOOKUP(MONTH(Tabla38[[#This Row],[Fecha final]]),Tabla20[#All],3,FALSE)</f>
        <v>0</v>
      </c>
      <c r="J8" s="16">
        <f>(Tabla38[[#This Row],[P3 + P6]])*VLOOKUP(MONTH(Tabla38[[#This Row],[Fecha final]]),Tabla20[#All],4,FALSE)</f>
        <v>33.895600000000002</v>
      </c>
      <c r="K8" s="16">
        <f>Tabla38[[#This Row],[P1 + P4]]*VLOOKUP(MONTH(Tabla38[[#This Row],[Fecha final]]),Tabla20[#All],5,FALSE)</f>
        <v>156</v>
      </c>
      <c r="L8" s="16">
        <f>Tabla38[[#This Row],[P2 + P5]]*VLOOKUP(MONTH(Tabla38[[#This Row],[Fecha final]]),Tabla20[#All],6,FALSE)</f>
        <v>0</v>
      </c>
      <c r="M8" s="16">
        <f>Tabla38[[#This Row],[P3 + P6]]*VLOOKUP(MONTH(Tabla38[[#This Row],[Fecha final]]),Tabla20[#All],7,FALSE)</f>
        <v>67.104399999999998</v>
      </c>
      <c r="N8" s="16">
        <f>YEAR(Tabla3[[#This Row],[Fecha final]])</f>
        <v>2020</v>
      </c>
    </row>
    <row r="9" spans="1:14">
      <c r="A9" s="17">
        <v>44074</v>
      </c>
      <c r="B9" s="17">
        <v>44104</v>
      </c>
      <c r="C9" s="16">
        <v>30</v>
      </c>
      <c r="D9" s="16" t="s">
        <v>42</v>
      </c>
      <c r="E9" s="16">
        <v>123</v>
      </c>
      <c r="F9" s="16">
        <v>295</v>
      </c>
      <c r="G9" s="16">
        <v>93</v>
      </c>
      <c r="H9" s="16">
        <f>Tabla38[[#This Row],[P1 + P4]]*VLOOKUP(MONTH(Tabla38[[#This Row],[Fecha final]]),Tabla20[#All],2,FALSE)</f>
        <v>0</v>
      </c>
      <c r="I9" s="16">
        <f>Tabla38[[#This Row],[P2 + P5]]*VLOOKUP(MONTH(Tabla38[[#This Row],[Fecha final]]),Tabla20[#All],3,FALSE)</f>
        <v>0</v>
      </c>
      <c r="J9" s="16">
        <f>(Tabla38[[#This Row],[P3 + P6]])*VLOOKUP(MONTH(Tabla38[[#This Row],[Fecha final]]),Tabla20[#All],4,FALSE)</f>
        <v>32.531399999999998</v>
      </c>
      <c r="K9" s="16">
        <f>Tabla38[[#This Row],[P1 + P4]]*VLOOKUP(MONTH(Tabla38[[#This Row],[Fecha final]]),Tabla20[#All],5,FALSE)</f>
        <v>123</v>
      </c>
      <c r="L9" s="16">
        <f>Tabla38[[#This Row],[P2 + P5]]*VLOOKUP(MONTH(Tabla38[[#This Row],[Fecha final]]),Tabla20[#All],6,FALSE)</f>
        <v>0</v>
      </c>
      <c r="M9" s="16">
        <f>Tabla38[[#This Row],[P3 + P6]]*VLOOKUP(MONTH(Tabla38[[#This Row],[Fecha final]]),Tabla20[#All],7,FALSE)</f>
        <v>60.468600000000002</v>
      </c>
      <c r="N9" s="16">
        <f>YEAR(Tabla3[[#This Row],[Fecha final]])</f>
        <v>2020</v>
      </c>
    </row>
    <row r="10" spans="1:14">
      <c r="A10" s="17">
        <v>44104</v>
      </c>
      <c r="B10" s="17">
        <v>44137</v>
      </c>
      <c r="C10" s="16">
        <v>33</v>
      </c>
      <c r="D10" s="16" t="s">
        <v>42</v>
      </c>
      <c r="E10" s="16">
        <v>303</v>
      </c>
      <c r="F10" s="16">
        <v>772</v>
      </c>
      <c r="G10" s="16">
        <v>145</v>
      </c>
      <c r="H10" s="16">
        <f>Tabla38[[#This Row],[P1 + P4]]*VLOOKUP(MONTH(Tabla38[[#This Row],[Fecha final]]),Tabla20[#All],2,FALSE)</f>
        <v>0</v>
      </c>
      <c r="I10" s="16">
        <f>Tabla38[[#This Row],[P2 + P5]]*VLOOKUP(MONTH(Tabla38[[#This Row],[Fecha final]]),Tabla20[#All],3,FALSE)</f>
        <v>772</v>
      </c>
      <c r="J10" s="16">
        <f>(Tabla38[[#This Row],[P3 + P6]])*VLOOKUP(MONTH(Tabla38[[#This Row],[Fecha final]]),Tabla20[#All],4,FALSE)</f>
        <v>40.135999999999996</v>
      </c>
      <c r="K10" s="16">
        <f>Tabla38[[#This Row],[P1 + P4]]*VLOOKUP(MONTH(Tabla38[[#This Row],[Fecha final]]),Tabla20[#All],5,FALSE)</f>
        <v>0</v>
      </c>
      <c r="L10" s="16">
        <f>Tabla38[[#This Row],[P2 + P5]]*VLOOKUP(MONTH(Tabla38[[#This Row],[Fecha final]]),Tabla20[#All],6,FALSE)</f>
        <v>0</v>
      </c>
      <c r="M10" s="16">
        <f>Tabla38[[#This Row],[P3 + P6]]*VLOOKUP(MONTH(Tabla38[[#This Row],[Fecha final]]),Tabla20[#All],7,FALSE)</f>
        <v>104.86399999999999</v>
      </c>
      <c r="N10" s="16">
        <f>YEAR(Tabla3[[#This Row],[Fecha final]])</f>
        <v>2020</v>
      </c>
    </row>
    <row r="11" spans="1:14">
      <c r="A11" s="17">
        <v>44137</v>
      </c>
      <c r="B11" s="17">
        <v>44165</v>
      </c>
      <c r="C11" s="16">
        <v>28</v>
      </c>
      <c r="D11" s="16" t="s">
        <v>42</v>
      </c>
      <c r="E11" s="16">
        <v>118</v>
      </c>
      <c r="F11" s="16">
        <v>1114</v>
      </c>
      <c r="G11" s="16">
        <v>127</v>
      </c>
      <c r="H11" s="16">
        <f>Tabla38[[#This Row],[P1 + P4]]*VLOOKUP(MONTH(Tabla38[[#This Row],[Fecha final]]),Tabla20[#All],2,FALSE)</f>
        <v>0</v>
      </c>
      <c r="I11" s="16">
        <f>Tabla38[[#This Row],[P2 + P5]]*VLOOKUP(MONTH(Tabla38[[#This Row],[Fecha final]]),Tabla20[#All],3,FALSE)</f>
        <v>1114</v>
      </c>
      <c r="J11" s="16">
        <f>(Tabla38[[#This Row],[P3 + P6]])*VLOOKUP(MONTH(Tabla38[[#This Row],[Fecha final]]),Tabla20[#All],4,FALSE)</f>
        <v>35.153599999999997</v>
      </c>
      <c r="K11" s="16">
        <f>Tabla38[[#This Row],[P1 + P4]]*VLOOKUP(MONTH(Tabla38[[#This Row],[Fecha final]]),Tabla20[#All],5,FALSE)</f>
        <v>0</v>
      </c>
      <c r="L11" s="16">
        <f>Tabla38[[#This Row],[P2 + P5]]*VLOOKUP(MONTH(Tabla38[[#This Row],[Fecha final]]),Tabla20[#All],6,FALSE)</f>
        <v>0</v>
      </c>
      <c r="M11" s="16">
        <f>Tabla38[[#This Row],[P3 + P6]]*VLOOKUP(MONTH(Tabla38[[#This Row],[Fecha final]]),Tabla20[#All],7,FALSE)</f>
        <v>91.846399999999988</v>
      </c>
      <c r="N11" s="16">
        <f>YEAR(Tabla3[[#This Row],[Fecha final]])</f>
        <v>2020</v>
      </c>
    </row>
    <row r="12" spans="1:14">
      <c r="A12" s="17">
        <v>44165</v>
      </c>
      <c r="B12" s="17">
        <v>44196</v>
      </c>
      <c r="C12" s="16">
        <v>31</v>
      </c>
      <c r="D12" s="16" t="s">
        <v>42</v>
      </c>
      <c r="E12" s="16">
        <v>150</v>
      </c>
      <c r="F12" s="16">
        <v>1392</v>
      </c>
      <c r="G12" s="16">
        <v>201</v>
      </c>
      <c r="H12" s="16">
        <f>Tabla38[[#This Row],[P1 + P4]]*VLOOKUP(MONTH(Tabla38[[#This Row],[Fecha final]]),Tabla20[#All],2,FALSE)</f>
        <v>150</v>
      </c>
      <c r="I12" s="16">
        <f>Tabla38[[#This Row],[P2 + P5]]*VLOOKUP(MONTH(Tabla38[[#This Row],[Fecha final]]),Tabla20[#All],3,FALSE)</f>
        <v>1392</v>
      </c>
      <c r="J12" s="16">
        <f>(Tabla38[[#This Row],[P3 + P6]])*VLOOKUP(MONTH(Tabla38[[#This Row],[Fecha final]]),Tabla20[#All],4,FALSE)</f>
        <v>0</v>
      </c>
      <c r="K12" s="16">
        <f>Tabla38[[#This Row],[P1 + P4]]*VLOOKUP(MONTH(Tabla38[[#This Row],[Fecha final]]),Tabla20[#All],5,FALSE)</f>
        <v>0</v>
      </c>
      <c r="L12" s="16">
        <f>Tabla38[[#This Row],[P2 + P5]]*VLOOKUP(MONTH(Tabla38[[#This Row],[Fecha final]]),Tabla20[#All],6,FALSE)</f>
        <v>0</v>
      </c>
      <c r="M12" s="16">
        <f>Tabla38[[#This Row],[P3 + P6]]*VLOOKUP(MONTH(Tabla38[[#This Row],[Fecha final]]),Tabla20[#All],7,FALSE)</f>
        <v>201</v>
      </c>
      <c r="N12" s="16">
        <f>YEAR(Tabla3[[#This Row],[Fecha final]])</f>
        <v>2020</v>
      </c>
    </row>
    <row r="13" spans="1:14">
      <c r="A13" s="17">
        <v>44196</v>
      </c>
      <c r="B13" s="17">
        <v>44228</v>
      </c>
      <c r="C13" s="16">
        <v>32</v>
      </c>
      <c r="D13" s="16" t="s">
        <v>42</v>
      </c>
      <c r="E13" s="16">
        <v>218</v>
      </c>
      <c r="F13" s="16">
        <v>1669</v>
      </c>
      <c r="G13" s="16">
        <v>328</v>
      </c>
      <c r="H13" s="16">
        <f>Tabla38[[#This Row],[P1 + P4]]*VLOOKUP(MONTH(Tabla38[[#This Row],[Fecha final]]),Tabla20[#All],2,FALSE)</f>
        <v>218</v>
      </c>
      <c r="I13" s="16">
        <f>Tabla38[[#This Row],[P2 + P5]]*VLOOKUP(MONTH(Tabla38[[#This Row],[Fecha final]]),Tabla20[#All],3,FALSE)</f>
        <v>1669</v>
      </c>
      <c r="J13" s="16">
        <f>(Tabla38[[#This Row],[P3 + P6]])*VLOOKUP(MONTH(Tabla38[[#This Row],[Fecha final]]),Tabla20[#All],4,FALSE)</f>
        <v>0</v>
      </c>
      <c r="K13" s="16">
        <f>Tabla38[[#This Row],[P1 + P4]]*VLOOKUP(MONTH(Tabla38[[#This Row],[Fecha final]]),Tabla20[#All],5,FALSE)</f>
        <v>0</v>
      </c>
      <c r="L13" s="16">
        <f>Tabla38[[#This Row],[P2 + P5]]*VLOOKUP(MONTH(Tabla38[[#This Row],[Fecha final]]),Tabla20[#All],6,FALSE)</f>
        <v>0</v>
      </c>
      <c r="M13" s="16">
        <f>Tabla38[[#This Row],[P3 + P6]]*VLOOKUP(MONTH(Tabla38[[#This Row],[Fecha final]]),Tabla20[#All],7,FALSE)</f>
        <v>328</v>
      </c>
      <c r="N13" s="16">
        <f>YEAR(Tabla3[[#This Row],[Fecha final]])</f>
        <v>2021</v>
      </c>
    </row>
    <row r="14" spans="1:14">
      <c r="A14" s="17">
        <v>44228</v>
      </c>
      <c r="B14" s="17">
        <v>44256</v>
      </c>
      <c r="C14" s="16">
        <v>28</v>
      </c>
      <c r="D14" s="16" t="s">
        <v>42</v>
      </c>
      <c r="E14" s="16">
        <v>124</v>
      </c>
      <c r="F14" s="16">
        <v>1156</v>
      </c>
      <c r="G14" s="16">
        <v>184</v>
      </c>
      <c r="H14" s="16">
        <f>Tabla38[[#This Row],[P1 + P4]]*VLOOKUP(MONTH(Tabla38[[#This Row],[Fecha final]]),Tabla20[#All],2,FALSE)</f>
        <v>0</v>
      </c>
      <c r="I14" s="16">
        <f>Tabla38[[#This Row],[P2 + P5]]*VLOOKUP(MONTH(Tabla38[[#This Row],[Fecha final]]),Tabla20[#All],3,FALSE)</f>
        <v>1156</v>
      </c>
      <c r="J14" s="16">
        <f>(Tabla38[[#This Row],[P3 + P6]])*VLOOKUP(MONTH(Tabla38[[#This Row],[Fecha final]]),Tabla20[#All],4,FALSE)</f>
        <v>55.163200000000003</v>
      </c>
      <c r="K14" s="16">
        <f>Tabla38[[#This Row],[P1 + P4]]*VLOOKUP(MONTH(Tabla38[[#This Row],[Fecha final]]),Tabla20[#All],5,FALSE)</f>
        <v>0</v>
      </c>
      <c r="L14" s="16">
        <f>Tabla38[[#This Row],[P2 + P5]]*VLOOKUP(MONTH(Tabla38[[#This Row],[Fecha final]]),Tabla20[#All],6,FALSE)</f>
        <v>0</v>
      </c>
      <c r="M14" s="16">
        <f>Tabla38[[#This Row],[P3 + P6]]*VLOOKUP(MONTH(Tabla38[[#This Row],[Fecha final]]),Tabla20[#All],7,FALSE)</f>
        <v>128.83680000000001</v>
      </c>
      <c r="N14" s="16">
        <f>YEAR(Tabla3[[#This Row],[Fecha final]])</f>
        <v>2021</v>
      </c>
    </row>
    <row r="15" spans="1:14">
      <c r="A15" s="17">
        <v>44256</v>
      </c>
      <c r="B15" s="17">
        <v>44291</v>
      </c>
      <c r="C15" s="16">
        <v>35</v>
      </c>
      <c r="D15" s="16" t="s">
        <v>42</v>
      </c>
      <c r="E15" s="16">
        <v>82</v>
      </c>
      <c r="F15" s="16">
        <v>547</v>
      </c>
      <c r="G15" s="16">
        <v>120</v>
      </c>
      <c r="H15" s="16">
        <f>Tabla38[[#This Row],[P1 + P4]]*VLOOKUP(MONTH(Tabla38[[#This Row],[Fecha final]]),Tabla20[#All],2,FALSE)</f>
        <v>0</v>
      </c>
      <c r="I15" s="16">
        <f>Tabla38[[#This Row],[P2 + P5]]*VLOOKUP(MONTH(Tabla38[[#This Row],[Fecha final]]),Tabla20[#All],3,FALSE)</f>
        <v>0</v>
      </c>
      <c r="J15" s="16">
        <f>(Tabla38[[#This Row],[P3 + P6]])*VLOOKUP(MONTH(Tabla38[[#This Row],[Fecha final]]),Tabla20[#All],4,FALSE)</f>
        <v>0</v>
      </c>
      <c r="K15" s="16">
        <f>Tabla38[[#This Row],[P1 + P4]]*VLOOKUP(MONTH(Tabla38[[#This Row],[Fecha final]]),Tabla20[#All],5,FALSE)</f>
        <v>82</v>
      </c>
      <c r="L15" s="16">
        <f>Tabla38[[#This Row],[P2 + P5]]*VLOOKUP(MONTH(Tabla38[[#This Row],[Fecha final]]),Tabla20[#All],6,FALSE)</f>
        <v>547</v>
      </c>
      <c r="M15" s="16">
        <f>Tabla38[[#This Row],[P3 + P6]]*VLOOKUP(MONTH(Tabla38[[#This Row],[Fecha final]]),Tabla20[#All],7,FALSE)</f>
        <v>120</v>
      </c>
      <c r="N15" s="16">
        <f>YEAR(Tabla3[[#This Row],[Fecha final]])</f>
        <v>2021</v>
      </c>
    </row>
    <row r="16" spans="1:14">
      <c r="A16" s="17">
        <v>44291</v>
      </c>
      <c r="B16" s="17">
        <v>44316</v>
      </c>
      <c r="C16" s="16">
        <v>25</v>
      </c>
      <c r="D16" s="16" t="s">
        <v>42</v>
      </c>
      <c r="E16" s="16">
        <v>404</v>
      </c>
      <c r="F16" s="16">
        <v>1041</v>
      </c>
      <c r="G16" s="16">
        <v>471</v>
      </c>
      <c r="H16" s="16">
        <f>Tabla38[[#This Row],[P1 + P4]]*VLOOKUP(MONTH(Tabla38[[#This Row],[Fecha final]]),Tabla20[#All],2,FALSE)</f>
        <v>0</v>
      </c>
      <c r="I16" s="16">
        <f>Tabla38[[#This Row],[P2 + P5]]*VLOOKUP(MONTH(Tabla38[[#This Row],[Fecha final]]),Tabla20[#All],3,FALSE)</f>
        <v>0</v>
      </c>
      <c r="J16" s="16">
        <f>(Tabla38[[#This Row],[P3 + P6]])*VLOOKUP(MONTH(Tabla38[[#This Row],[Fecha final]]),Tabla20[#All],4,FALSE)</f>
        <v>0</v>
      </c>
      <c r="K16" s="16">
        <f>Tabla38[[#This Row],[P1 + P4]]*VLOOKUP(MONTH(Tabla38[[#This Row],[Fecha final]]),Tabla20[#All],5,FALSE)</f>
        <v>404</v>
      </c>
      <c r="L16" s="16">
        <f>Tabla38[[#This Row],[P2 + P5]]*VLOOKUP(MONTH(Tabla38[[#This Row],[Fecha final]]),Tabla20[#All],6,FALSE)</f>
        <v>1041</v>
      </c>
      <c r="M16" s="16">
        <f>Tabla38[[#This Row],[P3 + P6]]*VLOOKUP(MONTH(Tabla38[[#This Row],[Fecha final]]),Tabla20[#All],7,FALSE)</f>
        <v>471</v>
      </c>
      <c r="N16" s="16">
        <f>YEAR(Tabla3[[#This Row],[Fecha final]])</f>
        <v>2021</v>
      </c>
    </row>
    <row r="17" spans="1:14">
      <c r="A17" s="17">
        <v>44316</v>
      </c>
      <c r="B17" s="17">
        <v>44347</v>
      </c>
      <c r="C17" s="16">
        <v>31</v>
      </c>
      <c r="D17" s="16" t="s">
        <v>42</v>
      </c>
      <c r="E17" s="16">
        <v>204</v>
      </c>
      <c r="F17" s="16">
        <v>511</v>
      </c>
      <c r="G17" s="16">
        <v>231</v>
      </c>
      <c r="H17" s="16">
        <f>Tabla38[[#This Row],[P1 + P4]]*VLOOKUP(MONTH(Tabla38[[#This Row],[Fecha final]]),Tabla20[#All],2,FALSE)</f>
        <v>0</v>
      </c>
      <c r="I17" s="16">
        <f>Tabla38[[#This Row],[P2 + P5]]*VLOOKUP(MONTH(Tabla38[[#This Row],[Fecha final]]),Tabla20[#All],3,FALSE)</f>
        <v>0</v>
      </c>
      <c r="J17" s="16">
        <f>(Tabla38[[#This Row],[P3 + P6]])*VLOOKUP(MONTH(Tabla38[[#This Row],[Fecha final]]),Tabla20[#All],4,FALSE)</f>
        <v>0</v>
      </c>
      <c r="K17" s="16">
        <f>Tabla38[[#This Row],[P1 + P4]]*VLOOKUP(MONTH(Tabla38[[#This Row],[Fecha final]]),Tabla20[#All],5,FALSE)</f>
        <v>204</v>
      </c>
      <c r="L17" s="16">
        <f>Tabla38[[#This Row],[P2 + P5]]*VLOOKUP(MONTH(Tabla38[[#This Row],[Fecha final]]),Tabla20[#All],6,FALSE)</f>
        <v>511</v>
      </c>
      <c r="M17" s="16">
        <f>Tabla38[[#This Row],[P3 + P6]]*VLOOKUP(MONTH(Tabla38[[#This Row],[Fecha final]]),Tabla20[#All],7,FALSE)</f>
        <v>231</v>
      </c>
      <c r="N17" s="16">
        <f>YEAR(Tabla3[[#This Row],[Fecha final]])</f>
        <v>2021</v>
      </c>
    </row>
    <row r="18" spans="1:14">
      <c r="A18" s="17">
        <v>44347</v>
      </c>
      <c r="B18" s="17">
        <v>44377</v>
      </c>
      <c r="C18" s="16">
        <v>30</v>
      </c>
      <c r="D18" s="16" t="s">
        <v>42</v>
      </c>
      <c r="E18" s="16">
        <v>133</v>
      </c>
      <c r="F18" s="16">
        <v>0</v>
      </c>
      <c r="G18" s="16">
        <v>425</v>
      </c>
      <c r="H18" s="16">
        <f>Tabla38[[#This Row],[P1 + P4]]*VLOOKUP(MONTH(Tabla38[[#This Row],[Fecha final]]),Tabla20[#All],2,FALSE)</f>
        <v>0</v>
      </c>
      <c r="I18" s="16">
        <f>Tabla38[[#This Row],[P2 + P5]]*VLOOKUP(MONTH(Tabla38[[#This Row],[Fecha final]]),Tabla20[#All],3,FALSE)</f>
        <v>0</v>
      </c>
      <c r="J18" s="16">
        <f>(Tabla38[[#This Row],[P3 + P6]])*VLOOKUP(MONTH(Tabla38[[#This Row],[Fecha final]]),Tabla20[#All],4,FALSE)</f>
        <v>148.66499999999999</v>
      </c>
      <c r="K18" s="16">
        <f>Tabla38[[#This Row],[P1 + P4]]*VLOOKUP(MONTH(Tabla38[[#This Row],[Fecha final]]),Tabla20[#All],5,FALSE)</f>
        <v>133</v>
      </c>
      <c r="L18" s="16">
        <f>Tabla38[[#This Row],[P2 + P5]]*VLOOKUP(MONTH(Tabla38[[#This Row],[Fecha final]]),Tabla20[#All],6,FALSE)</f>
        <v>0</v>
      </c>
      <c r="M18" s="16">
        <f>Tabla38[[#This Row],[P3 + P6]]*VLOOKUP(MONTH(Tabla38[[#This Row],[Fecha final]]),Tabla20[#All],7,FALSE)</f>
        <v>276.33499999999998</v>
      </c>
      <c r="N18" s="16">
        <f>YEAR(Tabla3[[#This Row],[Fecha final]])</f>
        <v>2021</v>
      </c>
    </row>
    <row r="19" spans="1:14">
      <c r="A19" s="17">
        <v>44377</v>
      </c>
      <c r="B19" s="17">
        <v>44408</v>
      </c>
      <c r="C19" s="16">
        <v>31</v>
      </c>
      <c r="D19" s="16" t="s">
        <v>42</v>
      </c>
      <c r="E19" s="16">
        <v>303</v>
      </c>
      <c r="F19" s="16">
        <v>129</v>
      </c>
      <c r="G19" s="16">
        <v>186</v>
      </c>
      <c r="H19" s="16">
        <f>Tabla38[[#This Row],[P1 + P4]]*VLOOKUP(MONTH(Tabla38[[#This Row],[Fecha final]]),Tabla20[#All],2,FALSE)</f>
        <v>303</v>
      </c>
      <c r="I19" s="16">
        <f>Tabla38[[#This Row],[P2 + P5]]*VLOOKUP(MONTH(Tabla38[[#This Row],[Fecha final]]),Tabla20[#All],3,FALSE)</f>
        <v>129</v>
      </c>
      <c r="J19" s="16">
        <f>(Tabla38[[#This Row],[P3 + P6]])*VLOOKUP(MONTH(Tabla38[[#This Row],[Fecha final]]),Tabla20[#All],4,FALSE)</f>
        <v>0</v>
      </c>
      <c r="K19" s="16">
        <f>Tabla38[[#This Row],[P1 + P4]]*VLOOKUP(MONTH(Tabla38[[#This Row],[Fecha final]]),Tabla20[#All],5,FALSE)</f>
        <v>0</v>
      </c>
      <c r="L19" s="16">
        <f>Tabla38[[#This Row],[P2 + P5]]*VLOOKUP(MONTH(Tabla38[[#This Row],[Fecha final]]),Tabla20[#All],6,FALSE)</f>
        <v>0</v>
      </c>
      <c r="M19" s="16">
        <f>Tabla38[[#This Row],[P3 + P6]]*VLOOKUP(MONTH(Tabla38[[#This Row],[Fecha final]]),Tabla20[#All],7,FALSE)</f>
        <v>186</v>
      </c>
      <c r="N19" s="16">
        <f>YEAR(Tabla3[[#This Row],[Fecha final]])</f>
        <v>2021</v>
      </c>
    </row>
    <row r="20" spans="1:14">
      <c r="A20" s="17">
        <v>44408</v>
      </c>
      <c r="B20" s="17">
        <v>44439</v>
      </c>
      <c r="C20" s="16">
        <v>31</v>
      </c>
      <c r="D20" s="16" t="s">
        <v>42</v>
      </c>
      <c r="E20" s="16">
        <v>117</v>
      </c>
      <c r="F20" s="16">
        <v>0</v>
      </c>
      <c r="G20" s="16">
        <v>458</v>
      </c>
      <c r="H20" s="16">
        <f>Tabla38[[#This Row],[P1 + P4]]*VLOOKUP(MONTH(Tabla38[[#This Row],[Fecha final]]),Tabla20[#All],2,FALSE)</f>
        <v>0</v>
      </c>
      <c r="I20" s="16">
        <f>Tabla38[[#This Row],[P2 + P5]]*VLOOKUP(MONTH(Tabla38[[#This Row],[Fecha final]]),Tabla20[#All],3,FALSE)</f>
        <v>0</v>
      </c>
      <c r="J20" s="16">
        <f>(Tabla38[[#This Row],[P3 + P6]])*VLOOKUP(MONTH(Tabla38[[#This Row],[Fecha final]]),Tabla20[#All],4,FALSE)</f>
        <v>153.70480000000001</v>
      </c>
      <c r="K20" s="16">
        <f>Tabla38[[#This Row],[P1 + P4]]*VLOOKUP(MONTH(Tabla38[[#This Row],[Fecha final]]),Tabla20[#All],5,FALSE)</f>
        <v>117</v>
      </c>
      <c r="L20" s="16">
        <f>Tabla38[[#This Row],[P2 + P5]]*VLOOKUP(MONTH(Tabla38[[#This Row],[Fecha final]]),Tabla20[#All],6,FALSE)</f>
        <v>0</v>
      </c>
      <c r="M20" s="16">
        <f>Tabla38[[#This Row],[P3 + P6]]*VLOOKUP(MONTH(Tabla38[[#This Row],[Fecha final]]),Tabla20[#All],7,FALSE)</f>
        <v>304.29520000000002</v>
      </c>
      <c r="N20" s="16">
        <f>YEAR(Tabla3[[#This Row],[Fecha final]])</f>
        <v>2021</v>
      </c>
    </row>
    <row r="21" spans="1:14">
      <c r="A21" s="17">
        <v>44439</v>
      </c>
      <c r="B21" s="17">
        <v>44469</v>
      </c>
      <c r="C21" s="16">
        <v>30</v>
      </c>
      <c r="D21" s="16" t="s">
        <v>42</v>
      </c>
      <c r="E21" s="16">
        <v>172</v>
      </c>
      <c r="F21" s="16">
        <v>0</v>
      </c>
      <c r="G21" s="16">
        <v>446</v>
      </c>
      <c r="H21" s="16">
        <f>Tabla38[[#This Row],[P1 + P4]]*VLOOKUP(MONTH(Tabla38[[#This Row],[Fecha final]]),Tabla20[#All],2,FALSE)</f>
        <v>0</v>
      </c>
      <c r="I21" s="16">
        <f>Tabla38[[#This Row],[P2 + P5]]*VLOOKUP(MONTH(Tabla38[[#This Row],[Fecha final]]),Tabla20[#All],3,FALSE)</f>
        <v>0</v>
      </c>
      <c r="J21" s="16">
        <f>(Tabla38[[#This Row],[P3 + P6]])*VLOOKUP(MONTH(Tabla38[[#This Row],[Fecha final]]),Tabla20[#All],4,FALSE)</f>
        <v>156.01079999999999</v>
      </c>
      <c r="K21" s="16">
        <f>Tabla38[[#This Row],[P1 + P4]]*VLOOKUP(MONTH(Tabla38[[#This Row],[Fecha final]]),Tabla20[#All],5,FALSE)</f>
        <v>172</v>
      </c>
      <c r="L21" s="16">
        <f>Tabla38[[#This Row],[P2 + P5]]*VLOOKUP(MONTH(Tabla38[[#This Row],[Fecha final]]),Tabla20[#All],6,FALSE)</f>
        <v>0</v>
      </c>
      <c r="M21" s="16">
        <f>Tabla38[[#This Row],[P3 + P6]]*VLOOKUP(MONTH(Tabla38[[#This Row],[Fecha final]]),Tabla20[#All],7,FALSE)</f>
        <v>289.98919999999998</v>
      </c>
      <c r="N21" s="16">
        <f>YEAR(Tabla3[[#This Row],[Fecha final]])</f>
        <v>2021</v>
      </c>
    </row>
    <row r="22" spans="1:14">
      <c r="A22" s="17">
        <v>44469</v>
      </c>
      <c r="B22" s="17">
        <v>44500</v>
      </c>
      <c r="C22" s="16">
        <v>31</v>
      </c>
      <c r="D22" s="16" t="s">
        <v>42</v>
      </c>
      <c r="E22" s="16">
        <v>523</v>
      </c>
      <c r="F22" s="16">
        <v>353</v>
      </c>
      <c r="G22" s="16">
        <v>230</v>
      </c>
      <c r="H22" s="16">
        <f>Tabla38[[#This Row],[P1 + P4]]*VLOOKUP(MONTH(Tabla38[[#This Row],[Fecha final]]),Tabla20[#All],2,FALSE)</f>
        <v>0</v>
      </c>
      <c r="I22" s="16">
        <f>Tabla38[[#This Row],[P2 + P5]]*VLOOKUP(MONTH(Tabla38[[#This Row],[Fecha final]]),Tabla20[#All],3,FALSE)</f>
        <v>0</v>
      </c>
      <c r="J22" s="16">
        <f>(Tabla38[[#This Row],[P3 + P6]])*VLOOKUP(MONTH(Tabla38[[#This Row],[Fecha final]]),Tabla20[#All],4,FALSE)</f>
        <v>0</v>
      </c>
      <c r="K22" s="16">
        <f>Tabla38[[#This Row],[P1 + P4]]*VLOOKUP(MONTH(Tabla38[[#This Row],[Fecha final]]),Tabla20[#All],5,FALSE)</f>
        <v>523</v>
      </c>
      <c r="L22" s="16">
        <f>Tabla38[[#This Row],[P2 + P5]]*VLOOKUP(MONTH(Tabla38[[#This Row],[Fecha final]]),Tabla20[#All],6,FALSE)</f>
        <v>353</v>
      </c>
      <c r="M22" s="16">
        <f>Tabla38[[#This Row],[P3 + P6]]*VLOOKUP(MONTH(Tabla38[[#This Row],[Fecha final]]),Tabla20[#All],7,FALSE)</f>
        <v>230</v>
      </c>
      <c r="N22" s="16">
        <f>YEAR(Tabla3[[#This Row],[Fecha final]])</f>
        <v>2021</v>
      </c>
    </row>
    <row r="23" spans="1:14">
      <c r="A23" s="17">
        <v>44500</v>
      </c>
      <c r="B23" s="17">
        <v>44530</v>
      </c>
      <c r="C23" s="16">
        <v>30</v>
      </c>
      <c r="D23" s="16" t="s">
        <v>42</v>
      </c>
      <c r="E23" s="16">
        <v>0</v>
      </c>
      <c r="F23" s="16">
        <v>868</v>
      </c>
      <c r="G23" s="16">
        <v>873</v>
      </c>
      <c r="H23" s="16">
        <f>Tabla38[[#This Row],[P1 + P4]]*VLOOKUP(MONTH(Tabla38[[#This Row],[Fecha final]]),Tabla20[#All],2,FALSE)</f>
        <v>0</v>
      </c>
      <c r="I23" s="16">
        <f>Tabla38[[#This Row],[P2 + P5]]*VLOOKUP(MONTH(Tabla38[[#This Row],[Fecha final]]),Tabla20[#All],3,FALSE)</f>
        <v>868</v>
      </c>
      <c r="J23" s="16">
        <f>(Tabla38[[#This Row],[P3 + P6]])*VLOOKUP(MONTH(Tabla38[[#This Row],[Fecha final]]),Tabla20[#All],4,FALSE)</f>
        <v>241.6464</v>
      </c>
      <c r="K23" s="16">
        <f>Tabla38[[#This Row],[P1 + P4]]*VLOOKUP(MONTH(Tabla38[[#This Row],[Fecha final]]),Tabla20[#All],5,FALSE)</f>
        <v>0</v>
      </c>
      <c r="L23" s="16">
        <f>Tabla38[[#This Row],[P2 + P5]]*VLOOKUP(MONTH(Tabla38[[#This Row],[Fecha final]]),Tabla20[#All],6,FALSE)</f>
        <v>0</v>
      </c>
      <c r="M23" s="16">
        <f>Tabla38[[#This Row],[P3 + P6]]*VLOOKUP(MONTH(Tabla38[[#This Row],[Fecha final]]),Tabla20[#All],7,FALSE)</f>
        <v>631.35359999999991</v>
      </c>
      <c r="N23" s="16">
        <f>YEAR(Tabla3[[#This Row],[Fecha final]])</f>
        <v>2021</v>
      </c>
    </row>
    <row r="24" spans="1:14">
      <c r="A24" s="17">
        <v>44530</v>
      </c>
      <c r="B24" s="17">
        <v>44532</v>
      </c>
      <c r="C24" s="16">
        <v>2</v>
      </c>
      <c r="D24" s="16" t="s">
        <v>42</v>
      </c>
      <c r="E24" s="16">
        <v>102</v>
      </c>
      <c r="F24" s="16">
        <v>81</v>
      </c>
      <c r="G24" s="16">
        <v>27</v>
      </c>
      <c r="H24" s="16">
        <f>Tabla38[[#This Row],[P1 + P4]]*VLOOKUP(MONTH(Tabla38[[#This Row],[Fecha final]]),Tabla20[#All],2,FALSE)</f>
        <v>102</v>
      </c>
      <c r="I24" s="16">
        <f>Tabla38[[#This Row],[P2 + P5]]*VLOOKUP(MONTH(Tabla38[[#This Row],[Fecha final]]),Tabla20[#All],3,FALSE)</f>
        <v>81</v>
      </c>
      <c r="J24" s="16">
        <f>(Tabla38[[#This Row],[P3 + P6]])*VLOOKUP(MONTH(Tabla38[[#This Row],[Fecha final]]),Tabla20[#All],4,FALSE)</f>
        <v>0</v>
      </c>
      <c r="K24" s="16">
        <f>Tabla38[[#This Row],[P1 + P4]]*VLOOKUP(MONTH(Tabla38[[#This Row],[Fecha final]]),Tabla20[#All],5,FALSE)</f>
        <v>0</v>
      </c>
      <c r="L24" s="16">
        <f>Tabla38[[#This Row],[P2 + P5]]*VLOOKUP(MONTH(Tabla38[[#This Row],[Fecha final]]),Tabla20[#All],6,FALSE)</f>
        <v>0</v>
      </c>
      <c r="M24" s="16">
        <f>Tabla38[[#This Row],[P3 + P6]]*VLOOKUP(MONTH(Tabla38[[#This Row],[Fecha final]]),Tabla20[#All],7,FALSE)</f>
        <v>27</v>
      </c>
      <c r="N24" s="16">
        <f>YEAR(Tabla3[[#This Row],[Fecha final]])</f>
        <v>2021</v>
      </c>
    </row>
    <row r="25" spans="1:14">
      <c r="A25" s="17">
        <v>44532</v>
      </c>
      <c r="B25" s="17">
        <v>44561</v>
      </c>
      <c r="C25" s="16">
        <v>29</v>
      </c>
      <c r="D25" s="16" t="s">
        <v>42</v>
      </c>
      <c r="E25" s="16">
        <v>573</v>
      </c>
      <c r="F25" s="16">
        <v>400</v>
      </c>
      <c r="G25" s="16">
        <v>599</v>
      </c>
      <c r="H25" s="16">
        <f>Tabla38[[#This Row],[P1 + P4]]*VLOOKUP(MONTH(Tabla38[[#This Row],[Fecha final]]),Tabla20[#All],2,FALSE)</f>
        <v>573</v>
      </c>
      <c r="I25" s="16">
        <f>Tabla38[[#This Row],[P2 + P5]]*VLOOKUP(MONTH(Tabla38[[#This Row],[Fecha final]]),Tabla20[#All],3,FALSE)</f>
        <v>400</v>
      </c>
      <c r="J25" s="16">
        <f>(Tabla38[[#This Row],[P3 + P6]])*VLOOKUP(MONTH(Tabla38[[#This Row],[Fecha final]]),Tabla20[#All],4,FALSE)</f>
        <v>0</v>
      </c>
      <c r="K25" s="16">
        <f>Tabla38[[#This Row],[P1 + P4]]*VLOOKUP(MONTH(Tabla38[[#This Row],[Fecha final]]),Tabla20[#All],5,FALSE)</f>
        <v>0</v>
      </c>
      <c r="L25" s="16">
        <f>Tabla38[[#This Row],[P2 + P5]]*VLOOKUP(MONTH(Tabla38[[#This Row],[Fecha final]]),Tabla20[#All],6,FALSE)</f>
        <v>0</v>
      </c>
      <c r="M25" s="16">
        <f>Tabla38[[#This Row],[P3 + P6]]*VLOOKUP(MONTH(Tabla38[[#This Row],[Fecha final]]),Tabla20[#All],7,FALSE)</f>
        <v>599</v>
      </c>
      <c r="N25" s="16">
        <f>YEAR(Tabla3[[#This Row],[Fecha final]])</f>
        <v>2021</v>
      </c>
    </row>
    <row r="26" spans="1:14">
      <c r="A26" s="17">
        <v>44561</v>
      </c>
      <c r="B26" s="17">
        <v>44592</v>
      </c>
      <c r="C26" s="16">
        <v>31</v>
      </c>
      <c r="D26" s="16" t="s">
        <v>42</v>
      </c>
      <c r="E26" s="16">
        <v>208</v>
      </c>
      <c r="F26" s="16">
        <v>103</v>
      </c>
      <c r="G26" s="16">
        <v>197</v>
      </c>
      <c r="H26" s="16">
        <f>Tabla38[[#This Row],[P1 + P4]]*VLOOKUP(MONTH(Tabla38[[#This Row],[Fecha final]]),Tabla20[#All],2,FALSE)</f>
        <v>208</v>
      </c>
      <c r="I26" s="16">
        <f>Tabla38[[#This Row],[P2 + P5]]*VLOOKUP(MONTH(Tabla38[[#This Row],[Fecha final]]),Tabla20[#All],3,FALSE)</f>
        <v>103</v>
      </c>
      <c r="J26" s="16">
        <f>(Tabla38[[#This Row],[P3 + P6]])*VLOOKUP(MONTH(Tabla38[[#This Row],[Fecha final]]),Tabla20[#All],4,FALSE)</f>
        <v>0</v>
      </c>
      <c r="K26" s="16">
        <f>Tabla38[[#This Row],[P1 + P4]]*VLOOKUP(MONTH(Tabla38[[#This Row],[Fecha final]]),Tabla20[#All],5,FALSE)</f>
        <v>0</v>
      </c>
      <c r="L26" s="16">
        <f>Tabla38[[#This Row],[P2 + P5]]*VLOOKUP(MONTH(Tabla38[[#This Row],[Fecha final]]),Tabla20[#All],6,FALSE)</f>
        <v>0</v>
      </c>
      <c r="M26" s="16">
        <f>Tabla38[[#This Row],[P3 + P6]]*VLOOKUP(MONTH(Tabla38[[#This Row],[Fecha final]]),Tabla20[#All],7,FALSE)</f>
        <v>197</v>
      </c>
      <c r="N26" s="16">
        <f>YEAR(Tabla3[[#This Row],[Fecha final]])</f>
        <v>2021</v>
      </c>
    </row>
    <row r="27" spans="1:14">
      <c r="A27" s="17">
        <v>44592</v>
      </c>
      <c r="B27" s="17">
        <v>44620</v>
      </c>
      <c r="C27" s="16">
        <v>28</v>
      </c>
      <c r="D27" s="16" t="s">
        <v>42</v>
      </c>
      <c r="E27" s="16">
        <v>748</v>
      </c>
      <c r="F27" s="16">
        <v>423</v>
      </c>
      <c r="G27" s="16">
        <v>430</v>
      </c>
      <c r="H27" s="16">
        <f>Tabla38[[#This Row],[P1 + P4]]*VLOOKUP(MONTH(Tabla38[[#This Row],[Fecha final]]),Tabla20[#All],2,FALSE)</f>
        <v>748</v>
      </c>
      <c r="I27" s="16">
        <f>Tabla38[[#This Row],[P2 + P5]]*VLOOKUP(MONTH(Tabla38[[#This Row],[Fecha final]]),Tabla20[#All],3,FALSE)</f>
        <v>423</v>
      </c>
      <c r="J27" s="16">
        <f>(Tabla38[[#This Row],[P3 + P6]])*VLOOKUP(MONTH(Tabla38[[#This Row],[Fecha final]]),Tabla20[#All],4,FALSE)</f>
        <v>0</v>
      </c>
      <c r="K27" s="16">
        <f>Tabla38[[#This Row],[P1 + P4]]*VLOOKUP(MONTH(Tabla38[[#This Row],[Fecha final]]),Tabla20[#All],5,FALSE)</f>
        <v>0</v>
      </c>
      <c r="L27" s="16">
        <f>Tabla38[[#This Row],[P2 + P5]]*VLOOKUP(MONTH(Tabla38[[#This Row],[Fecha final]]),Tabla20[#All],6,FALSE)</f>
        <v>0</v>
      </c>
      <c r="M27" s="16">
        <f>Tabla38[[#This Row],[P3 + P6]]*VLOOKUP(MONTH(Tabla38[[#This Row],[Fecha final]]),Tabla20[#All],7,FALSE)</f>
        <v>430</v>
      </c>
      <c r="N27" s="16">
        <f>YEAR(Tabla3[[#This Row],[Fecha final]])</f>
        <v>2022</v>
      </c>
    </row>
    <row r="28" spans="1:14">
      <c r="A28" s="17">
        <v>44620</v>
      </c>
      <c r="B28" s="17">
        <v>44651</v>
      </c>
      <c r="C28" s="16">
        <v>31</v>
      </c>
      <c r="D28" s="16" t="s">
        <v>42</v>
      </c>
      <c r="E28" s="16">
        <v>0</v>
      </c>
      <c r="F28" s="16">
        <v>725</v>
      </c>
      <c r="G28" s="16">
        <v>645</v>
      </c>
      <c r="H28" s="16">
        <f>Tabla38[[#This Row],[P1 + P4]]*VLOOKUP(MONTH(Tabla38[[#This Row],[Fecha final]]),Tabla20[#All],2,FALSE)</f>
        <v>0</v>
      </c>
      <c r="I28" s="16">
        <f>Tabla38[[#This Row],[P2 + P5]]*VLOOKUP(MONTH(Tabla38[[#This Row],[Fecha final]]),Tabla20[#All],3,FALSE)</f>
        <v>725</v>
      </c>
      <c r="J28" s="16">
        <f>(Tabla38[[#This Row],[P3 + P6]])*VLOOKUP(MONTH(Tabla38[[#This Row],[Fecha final]]),Tabla20[#All],4,FALSE)</f>
        <v>193.37100000000001</v>
      </c>
      <c r="K28" s="16">
        <f>Tabla38[[#This Row],[P1 + P4]]*VLOOKUP(MONTH(Tabla38[[#This Row],[Fecha final]]),Tabla20[#All],5,FALSE)</f>
        <v>0</v>
      </c>
      <c r="L28" s="16">
        <f>Tabla38[[#This Row],[P2 + P5]]*VLOOKUP(MONTH(Tabla38[[#This Row],[Fecha final]]),Tabla20[#All],6,FALSE)</f>
        <v>0</v>
      </c>
      <c r="M28" s="16">
        <f>Tabla38[[#This Row],[P3 + P6]]*VLOOKUP(MONTH(Tabla38[[#This Row],[Fecha final]]),Tabla20[#All],7,FALSE)</f>
        <v>451.62900000000002</v>
      </c>
      <c r="N28" s="16">
        <f>YEAR(Tabla3[[#This Row],[Fecha final]])</f>
        <v>2022</v>
      </c>
    </row>
    <row r="29" spans="1:14">
      <c r="A29" s="17">
        <v>44651</v>
      </c>
      <c r="B29" s="17">
        <v>44681</v>
      </c>
      <c r="C29" s="16">
        <v>30</v>
      </c>
      <c r="D29" s="16" t="s">
        <v>42</v>
      </c>
      <c r="E29" s="16">
        <v>549</v>
      </c>
      <c r="F29" s="16">
        <v>296</v>
      </c>
      <c r="G29" s="16">
        <v>182</v>
      </c>
      <c r="H29" s="16">
        <f>Tabla38[[#This Row],[P1 + P4]]*VLOOKUP(MONTH(Tabla38[[#This Row],[Fecha final]]),Tabla20[#All],2,FALSE)</f>
        <v>0</v>
      </c>
      <c r="I29" s="16">
        <f>Tabla38[[#This Row],[P2 + P5]]*VLOOKUP(MONTH(Tabla38[[#This Row],[Fecha final]]),Tabla20[#All],3,FALSE)</f>
        <v>0</v>
      </c>
      <c r="J29" s="16">
        <f>(Tabla38[[#This Row],[P3 + P6]])*VLOOKUP(MONTH(Tabla38[[#This Row],[Fecha final]]),Tabla20[#All],4,FALSE)</f>
        <v>0</v>
      </c>
      <c r="K29" s="16">
        <f>Tabla38[[#This Row],[P1 + P4]]*VLOOKUP(MONTH(Tabla38[[#This Row],[Fecha final]]),Tabla20[#All],5,FALSE)</f>
        <v>549</v>
      </c>
      <c r="L29" s="16">
        <f>Tabla38[[#This Row],[P2 + P5]]*VLOOKUP(MONTH(Tabla38[[#This Row],[Fecha final]]),Tabla20[#All],6,FALSE)</f>
        <v>296</v>
      </c>
      <c r="M29" s="16">
        <f>Tabla38[[#This Row],[P3 + P6]]*VLOOKUP(MONTH(Tabla38[[#This Row],[Fecha final]]),Tabla20[#All],7,FALSE)</f>
        <v>182</v>
      </c>
      <c r="N29" s="16">
        <f>YEAR(Tabla3[[#This Row],[Fecha final]])</f>
        <v>2022</v>
      </c>
    </row>
    <row r="30" spans="1:14">
      <c r="A30" s="17">
        <v>44681</v>
      </c>
      <c r="B30" s="17">
        <v>44712</v>
      </c>
      <c r="C30" s="16">
        <v>31</v>
      </c>
      <c r="D30" s="16" t="s">
        <v>42</v>
      </c>
      <c r="E30" s="16">
        <v>244</v>
      </c>
      <c r="F30" s="16">
        <v>137</v>
      </c>
      <c r="G30" s="16">
        <v>134</v>
      </c>
      <c r="H30" s="16">
        <f>Tabla38[[#This Row],[P1 + P4]]*VLOOKUP(MONTH(Tabla38[[#This Row],[Fecha final]]),Tabla20[#All],2,FALSE)</f>
        <v>0</v>
      </c>
      <c r="I30" s="16">
        <f>Tabla38[[#This Row],[P2 + P5]]*VLOOKUP(MONTH(Tabla38[[#This Row],[Fecha final]]),Tabla20[#All],3,FALSE)</f>
        <v>0</v>
      </c>
      <c r="J30" s="16">
        <f>(Tabla38[[#This Row],[P3 + P6]])*VLOOKUP(MONTH(Tabla38[[#This Row],[Fecha final]]),Tabla20[#All],4,FALSE)</f>
        <v>0</v>
      </c>
      <c r="K30" s="16">
        <f>Tabla38[[#This Row],[P1 + P4]]*VLOOKUP(MONTH(Tabla38[[#This Row],[Fecha final]]),Tabla20[#All],5,FALSE)</f>
        <v>244</v>
      </c>
      <c r="L30" s="16">
        <f>Tabla38[[#This Row],[P2 + P5]]*VLOOKUP(MONTH(Tabla38[[#This Row],[Fecha final]]),Tabla20[#All],6,FALSE)</f>
        <v>137</v>
      </c>
      <c r="M30" s="16">
        <f>Tabla38[[#This Row],[P3 + P6]]*VLOOKUP(MONTH(Tabla38[[#This Row],[Fecha final]]),Tabla20[#All],7,FALSE)</f>
        <v>134</v>
      </c>
      <c r="N30" s="16">
        <f>YEAR(Tabla3[[#This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42</v>
      </c>
      <c r="E31" s="16">
        <v>189</v>
      </c>
      <c r="F31" s="16">
        <v>0</v>
      </c>
      <c r="G31" s="16">
        <v>510</v>
      </c>
      <c r="H31" s="16">
        <f>Tabla38[[#This Row],[P1 + P4]]*VLOOKUP(MONTH(Tabla38[[#This Row],[Fecha final]]),Tabla20[#All],2,FALSE)</f>
        <v>0</v>
      </c>
      <c r="I31" s="16">
        <f>Tabla38[[#This Row],[P2 + P5]]*VLOOKUP(MONTH(Tabla38[[#This Row],[Fecha final]]),Tabla20[#All],3,FALSE)</f>
        <v>0</v>
      </c>
      <c r="J31" s="16">
        <f>(Tabla38[[#This Row],[P3 + P6]])*VLOOKUP(MONTH(Tabla38[[#This Row],[Fecha final]]),Tabla20[#All],4,FALSE)</f>
        <v>178.398</v>
      </c>
      <c r="K31" s="16">
        <f>Tabla38[[#This Row],[P1 + P4]]*VLOOKUP(MONTH(Tabla38[[#This Row],[Fecha final]]),Tabla20[#All],5,FALSE)</f>
        <v>189</v>
      </c>
      <c r="L31" s="16">
        <f>Tabla38[[#This Row],[P2 + P5]]*VLOOKUP(MONTH(Tabla38[[#This Row],[Fecha final]]),Tabla20[#All],6,FALSE)</f>
        <v>0</v>
      </c>
      <c r="M31" s="16">
        <f>Tabla38[[#This Row],[P3 + P6]]*VLOOKUP(MONTH(Tabla38[[#This Row],[Fecha final]]),Tabla20[#All],7,FALSE)</f>
        <v>331.60199999999998</v>
      </c>
      <c r="N31" s="16">
        <f>YEAR(Tabla3[[#This Row],[Fecha final]])</f>
        <v>2022</v>
      </c>
    </row>
    <row r="32" spans="1:14">
      <c r="A32" s="17">
        <v>44742</v>
      </c>
      <c r="B32" s="17">
        <v>44773</v>
      </c>
      <c r="C32" s="16">
        <v>31</v>
      </c>
      <c r="D32" s="16" t="s">
        <v>42</v>
      </c>
      <c r="E32" s="16">
        <v>226</v>
      </c>
      <c r="F32" s="16">
        <v>115</v>
      </c>
      <c r="G32" s="16">
        <v>129</v>
      </c>
      <c r="H32" s="16">
        <f>Tabla38[[#This Row],[P1 + P4]]*VLOOKUP(MONTH(Tabla38[[#This Row],[Fecha final]]),Tabla20[#All],2,FALSE)</f>
        <v>226</v>
      </c>
      <c r="I32" s="16">
        <f>Tabla38[[#This Row],[P2 + P5]]*VLOOKUP(MONTH(Tabla38[[#This Row],[Fecha final]]),Tabla20[#All],3,FALSE)</f>
        <v>115</v>
      </c>
      <c r="J32" s="16">
        <f>(Tabla38[[#This Row],[P3 + P6]])*VLOOKUP(MONTH(Tabla38[[#This Row],[Fecha final]]),Tabla20[#All],4,FALSE)</f>
        <v>0</v>
      </c>
      <c r="K32" s="16">
        <f>Tabla38[[#This Row],[P1 + P4]]*VLOOKUP(MONTH(Tabla38[[#This Row],[Fecha final]]),Tabla20[#All],5,FALSE)</f>
        <v>0</v>
      </c>
      <c r="L32" s="16">
        <f>Tabla38[[#This Row],[P2 + P5]]*VLOOKUP(MONTH(Tabla38[[#This Row],[Fecha final]]),Tabla20[#All],6,FALSE)</f>
        <v>0</v>
      </c>
      <c r="M32" s="16">
        <f>Tabla38[[#This Row],[P3 + P6]]*VLOOKUP(MONTH(Tabla38[[#This Row],[Fecha final]]),Tabla20[#All],7,FALSE)</f>
        <v>129</v>
      </c>
      <c r="N32" s="16">
        <f>YEAR(Tabla3[[#This Row],[Fecha final]])</f>
        <v>2022</v>
      </c>
    </row>
    <row r="33" spans="1:14">
      <c r="A33" s="17">
        <v>44773</v>
      </c>
      <c r="B33" s="17">
        <v>44804</v>
      </c>
      <c r="C33" s="16">
        <v>31</v>
      </c>
      <c r="D33" s="16" t="s">
        <v>42</v>
      </c>
      <c r="E33" s="16">
        <v>163</v>
      </c>
      <c r="F33" s="16">
        <v>0</v>
      </c>
      <c r="G33" s="16">
        <v>460</v>
      </c>
      <c r="H33" s="16">
        <f>Tabla38[[#This Row],[P1 + P4]]*VLOOKUP(MONTH(Tabla38[[#This Row],[Fecha final]]),Tabla20[#All],2,FALSE)</f>
        <v>0</v>
      </c>
      <c r="I33" s="16">
        <f>Tabla38[[#This Row],[P2 + P5]]*VLOOKUP(MONTH(Tabla38[[#This Row],[Fecha final]]),Tabla20[#All],3,FALSE)</f>
        <v>0</v>
      </c>
      <c r="J33" s="16">
        <f>(Tabla38[[#This Row],[P3 + P6]])*VLOOKUP(MONTH(Tabla38[[#This Row],[Fecha final]]),Tabla20[#All],4,FALSE)</f>
        <v>154.376</v>
      </c>
      <c r="K33" s="16">
        <f>Tabla38[[#This Row],[P1 + P4]]*VLOOKUP(MONTH(Tabla38[[#This Row],[Fecha final]]),Tabla20[#All],5,FALSE)</f>
        <v>163</v>
      </c>
      <c r="L33" s="16">
        <f>Tabla38[[#This Row],[P2 + P5]]*VLOOKUP(MONTH(Tabla38[[#This Row],[Fecha final]]),Tabla20[#All],6,FALSE)</f>
        <v>0</v>
      </c>
      <c r="M33" s="16">
        <f>Tabla38[[#This Row],[P3 + P6]]*VLOOKUP(MONTH(Tabla38[[#This Row],[Fecha final]]),Tabla20[#All],7,FALSE)</f>
        <v>305.62400000000002</v>
      </c>
      <c r="N33" s="16">
        <f>YEAR(Tabla3[[#This Row],[Fecha final]])</f>
        <v>2022</v>
      </c>
    </row>
    <row r="34" spans="1:14">
      <c r="A34" s="17">
        <v>44804</v>
      </c>
      <c r="B34" s="17">
        <v>44834</v>
      </c>
      <c r="C34" s="16">
        <v>30</v>
      </c>
      <c r="D34" s="16" t="s">
        <v>42</v>
      </c>
      <c r="E34" s="16">
        <v>108</v>
      </c>
      <c r="F34" s="16">
        <v>0</v>
      </c>
      <c r="G34" s="16">
        <v>365</v>
      </c>
      <c r="H34" s="16">
        <f>Tabla38[[#This Row],[P1 + P4]]*VLOOKUP(MONTH(Tabla38[[#This Row],[Fecha final]]),Tabla20[#All],2,FALSE)</f>
        <v>0</v>
      </c>
      <c r="I34" s="16">
        <f>Tabla38[[#This Row],[P2 + P5]]*VLOOKUP(MONTH(Tabla38[[#This Row],[Fecha final]]),Tabla20[#All],3,FALSE)</f>
        <v>0</v>
      </c>
      <c r="J34" s="16">
        <f>(Tabla38[[#This Row],[P3 + P6]])*VLOOKUP(MONTH(Tabla38[[#This Row],[Fecha final]]),Tabla20[#All],4,FALSE)</f>
        <v>127.67700000000001</v>
      </c>
      <c r="K34" s="16">
        <f>Tabla38[[#This Row],[P1 + P4]]*VLOOKUP(MONTH(Tabla38[[#This Row],[Fecha final]]),Tabla20[#All],5,FALSE)</f>
        <v>108</v>
      </c>
      <c r="L34" s="16">
        <f>Tabla38[[#This Row],[P2 + P5]]*VLOOKUP(MONTH(Tabla38[[#This Row],[Fecha final]]),Tabla20[#All],6,FALSE)</f>
        <v>0</v>
      </c>
      <c r="M34" s="16">
        <f>Tabla38[[#This Row],[P3 + P6]]*VLOOKUP(MONTH(Tabla38[[#This Row],[Fecha final]]),Tabla20[#All],7,FALSE)</f>
        <v>237.32300000000001</v>
      </c>
      <c r="N34" s="16">
        <f>YEAR(Tabla3[[#This Row],[Fecha final]])</f>
        <v>2022</v>
      </c>
    </row>
    <row r="35" spans="1:14">
      <c r="A35" s="17">
        <v>44834</v>
      </c>
      <c r="B35" s="17">
        <v>44865</v>
      </c>
      <c r="C35" s="16">
        <v>31</v>
      </c>
      <c r="D35" s="16" t="s">
        <v>42</v>
      </c>
      <c r="E35" s="16">
        <v>198</v>
      </c>
      <c r="F35" s="16">
        <v>85</v>
      </c>
      <c r="G35" s="16">
        <v>161</v>
      </c>
      <c r="H35" s="16">
        <f>Tabla38[[#This Row],[P1 + P4]]*VLOOKUP(MONTH(Tabla38[[#This Row],[Fecha final]]),Tabla20[#All],2,FALSE)</f>
        <v>0</v>
      </c>
      <c r="I35" s="16">
        <f>Tabla38[[#This Row],[P2 + P5]]*VLOOKUP(MONTH(Tabla38[[#This Row],[Fecha final]]),Tabla20[#All],3,FALSE)</f>
        <v>0</v>
      </c>
      <c r="J35" s="16">
        <f>(Tabla38[[#This Row],[P3 + P6]])*VLOOKUP(MONTH(Tabla38[[#This Row],[Fecha final]]),Tabla20[#All],4,FALSE)</f>
        <v>0</v>
      </c>
      <c r="K35" s="16">
        <f>Tabla38[[#This Row],[P1 + P4]]*VLOOKUP(MONTH(Tabla38[[#This Row],[Fecha final]]),Tabla20[#All],5,FALSE)</f>
        <v>198</v>
      </c>
      <c r="L35" s="16">
        <f>Tabla38[[#This Row],[P2 + P5]]*VLOOKUP(MONTH(Tabla38[[#This Row],[Fecha final]]),Tabla20[#All],6,FALSE)</f>
        <v>85</v>
      </c>
      <c r="M35" s="16">
        <f>Tabla38[[#This Row],[P3 + P6]]*VLOOKUP(MONTH(Tabla38[[#This Row],[Fecha final]]),Tabla20[#All],7,FALSE)</f>
        <v>161</v>
      </c>
      <c r="N35" s="16">
        <f>YEAR(Tabla3[[#This Row],[Fecha final]])</f>
        <v>2022</v>
      </c>
    </row>
    <row r="36" spans="1:14">
      <c r="A36" s="17">
        <v>44865</v>
      </c>
      <c r="B36" s="17">
        <v>44895</v>
      </c>
      <c r="C36" s="16">
        <v>30</v>
      </c>
      <c r="D36" s="16" t="s">
        <v>42</v>
      </c>
      <c r="E36" s="16">
        <v>0</v>
      </c>
      <c r="F36" s="16">
        <v>528</v>
      </c>
      <c r="G36" s="16">
        <v>355</v>
      </c>
      <c r="H36" s="16">
        <f>Tabla38[[#This Row],[P1 + P4]]*VLOOKUP(MONTH(Tabla38[[#This Row],[Fecha final]]),Tabla20[#All],2,FALSE)</f>
        <v>0</v>
      </c>
      <c r="I36" s="16">
        <f>Tabla38[[#This Row],[P2 + P5]]*VLOOKUP(MONTH(Tabla38[[#This Row],[Fecha final]]),Tabla20[#All],3,FALSE)</f>
        <v>528</v>
      </c>
      <c r="J36" s="16">
        <f>(Tabla38[[#This Row],[P3 + P6]])*VLOOKUP(MONTH(Tabla38[[#This Row],[Fecha final]]),Tabla20[#All],4,FALSE)</f>
        <v>98.263999999999996</v>
      </c>
      <c r="K36" s="16">
        <f>Tabla38[[#This Row],[P1 + P4]]*VLOOKUP(MONTH(Tabla38[[#This Row],[Fecha final]]),Tabla20[#All],5,FALSE)</f>
        <v>0</v>
      </c>
      <c r="L36" s="16">
        <f>Tabla38[[#This Row],[P2 + P5]]*VLOOKUP(MONTH(Tabla38[[#This Row],[Fecha final]]),Tabla20[#All],6,FALSE)</f>
        <v>0</v>
      </c>
      <c r="M36" s="16">
        <f>Tabla38[[#This Row],[P3 + P6]]*VLOOKUP(MONTH(Tabla38[[#This Row],[Fecha final]]),Tabla20[#All],7,FALSE)</f>
        <v>256.73599999999999</v>
      </c>
      <c r="N36" s="16">
        <f>YEAR(Tabla3[[#This Row],[Fecha final]])</f>
        <v>2022</v>
      </c>
    </row>
    <row r="37" spans="1:14">
      <c r="A37" s="17">
        <v>44895</v>
      </c>
      <c r="B37" s="17">
        <v>44926</v>
      </c>
      <c r="C37" s="16">
        <v>31</v>
      </c>
      <c r="D37" s="16" t="s">
        <v>42</v>
      </c>
      <c r="E37" s="16">
        <v>578</v>
      </c>
      <c r="F37" s="16">
        <v>364</v>
      </c>
      <c r="G37" s="16">
        <v>377</v>
      </c>
      <c r="H37" s="16">
        <f>Tabla38[[#This Row],[P1 + P4]]*VLOOKUP(MONTH(Tabla38[[#This Row],[Fecha final]]),Tabla20[#All],2,FALSE)</f>
        <v>578</v>
      </c>
      <c r="I37" s="16">
        <f>Tabla38[[#This Row],[P2 + P5]]*VLOOKUP(MONTH(Tabla38[[#This Row],[Fecha final]]),Tabla20[#All],3,FALSE)</f>
        <v>364</v>
      </c>
      <c r="J37" s="16">
        <f>(Tabla38[[#This Row],[P3 + P6]])*VLOOKUP(MONTH(Tabla38[[#This Row],[Fecha final]]),Tabla20[#All],4,FALSE)</f>
        <v>0</v>
      </c>
      <c r="K37" s="16">
        <f>Tabla38[[#This Row],[P1 + P4]]*VLOOKUP(MONTH(Tabla38[[#This Row],[Fecha final]]),Tabla20[#All],5,FALSE)</f>
        <v>0</v>
      </c>
      <c r="L37" s="16">
        <f>Tabla38[[#This Row],[P2 + P5]]*VLOOKUP(MONTH(Tabla38[[#This Row],[Fecha final]]),Tabla20[#All],6,FALSE)</f>
        <v>0</v>
      </c>
      <c r="M37" s="16">
        <f>Tabla38[[#This Row],[P3 + P6]]*VLOOKUP(MONTH(Tabla38[[#This Row],[Fecha final]]),Tabla20[#All],7,FALSE)</f>
        <v>377</v>
      </c>
      <c r="N37" s="16">
        <f>YEAR(Tabla3[[#This Row],[Fecha final]])</f>
        <v>2022</v>
      </c>
    </row>
    <row r="38" spans="1:14">
      <c r="A38" s="17">
        <v>44926</v>
      </c>
      <c r="B38" s="17">
        <v>44946</v>
      </c>
      <c r="C38" s="16">
        <v>20</v>
      </c>
      <c r="D38" s="16" t="s">
        <v>42</v>
      </c>
      <c r="E38" s="16">
        <v>687</v>
      </c>
      <c r="F38" s="16">
        <v>388</v>
      </c>
      <c r="G38" s="16">
        <v>214</v>
      </c>
      <c r="H38" s="16">
        <f>Tabla38[[#This Row],[P1 + P4]]*VLOOKUP(MONTH(Tabla38[[#This Row],[Fecha final]]),Tabla20[#All],2,FALSE)</f>
        <v>687</v>
      </c>
      <c r="I38" s="16">
        <f>Tabla38[[#This Row],[P2 + P5]]*VLOOKUP(MONTH(Tabla38[[#This Row],[Fecha final]]),Tabla20[#All],3,FALSE)</f>
        <v>388</v>
      </c>
      <c r="J38" s="16">
        <f>(Tabla38[[#This Row],[P3 + P6]])*VLOOKUP(MONTH(Tabla38[[#This Row],[Fecha final]]),Tabla20[#All],4,FALSE)</f>
        <v>0</v>
      </c>
      <c r="K38" s="16">
        <f>Tabla38[[#This Row],[P1 + P4]]*VLOOKUP(MONTH(Tabla38[[#This Row],[Fecha final]]),Tabla20[#All],5,FALSE)</f>
        <v>0</v>
      </c>
      <c r="L38" s="16">
        <f>Tabla38[[#This Row],[P2 + P5]]*VLOOKUP(MONTH(Tabla38[[#This Row],[Fecha final]]),Tabla20[#All],6,FALSE)</f>
        <v>0</v>
      </c>
      <c r="M38" s="16">
        <f>Tabla38[[#This Row],[P3 + P6]]*VLOOKUP(MONTH(Tabla38[[#This Row],[Fecha final]]),Tabla20[#All],7,FALSE)</f>
        <v>214</v>
      </c>
      <c r="N38" s="16">
        <f>YEAR(Tabla3[[#This Row],[Fecha final]])</f>
        <v>2022</v>
      </c>
    </row>
    <row r="39" spans="1:14">
      <c r="A39" s="17">
        <v>44946</v>
      </c>
      <c r="B39" s="17">
        <v>44957</v>
      </c>
      <c r="C39" s="16">
        <v>11</v>
      </c>
      <c r="D39" s="16" t="s">
        <v>42</v>
      </c>
      <c r="E39" s="16">
        <v>478</v>
      </c>
      <c r="F39" s="16">
        <v>296</v>
      </c>
      <c r="G39" s="16">
        <v>82</v>
      </c>
      <c r="H39" s="16">
        <f>Tabla38[[#This Row],[P1 + P4]]*VLOOKUP(MONTH(Tabla38[[#This Row],[Fecha final]]),Tabla20[#All],2,FALSE)</f>
        <v>478</v>
      </c>
      <c r="I39" s="16">
        <f>Tabla38[[#This Row],[P2 + P5]]*VLOOKUP(MONTH(Tabla38[[#This Row],[Fecha final]]),Tabla20[#All],3,FALSE)</f>
        <v>296</v>
      </c>
      <c r="J39" s="16">
        <f>(Tabla38[[#This Row],[P3 + P6]])*VLOOKUP(MONTH(Tabla38[[#This Row],[Fecha final]]),Tabla20[#All],4,FALSE)</f>
        <v>0</v>
      </c>
      <c r="K39" s="16">
        <f>Tabla38[[#This Row],[P1 + P4]]*VLOOKUP(MONTH(Tabla38[[#This Row],[Fecha final]]),Tabla20[#All],5,FALSE)</f>
        <v>0</v>
      </c>
      <c r="L39" s="16">
        <f>Tabla38[[#This Row],[P2 + P5]]*VLOOKUP(MONTH(Tabla38[[#This Row],[Fecha final]]),Tabla20[#All],6,FALSE)</f>
        <v>0</v>
      </c>
      <c r="M39" s="16">
        <f>Tabla38[[#This Row],[P3 + P6]]*VLOOKUP(MONTH(Tabla38[[#This Row],[Fecha final]]),Tabla20[#All],7,FALSE)</f>
        <v>82</v>
      </c>
      <c r="N39" s="16">
        <f>YEAR(Tabla3[[#This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1057</v>
      </c>
      <c r="F40" s="16">
        <v>537</v>
      </c>
      <c r="G40" s="16">
        <v>199</v>
      </c>
      <c r="H40" s="16">
        <f>Tabla38[[#This Row],[P1 + P4]]*VLOOKUP(MONTH(Tabla38[[#This Row],[Fecha final]]),Tabla20[#All],2,FALSE)</f>
        <v>1057</v>
      </c>
      <c r="I40" s="16">
        <f>Tabla38[[#This Row],[P2 + P5]]*VLOOKUP(MONTH(Tabla38[[#This Row],[Fecha final]]),Tabla20[#All],3,FALSE)</f>
        <v>537</v>
      </c>
      <c r="J40" s="16">
        <f>(Tabla38[[#This Row],[P3 + P6]])*VLOOKUP(MONTH(Tabla38[[#This Row],[Fecha final]]),Tabla20[#All],4,FALSE)</f>
        <v>0</v>
      </c>
      <c r="K40" s="16">
        <f>Tabla38[[#This Row],[P1 + P4]]*VLOOKUP(MONTH(Tabla38[[#This Row],[Fecha final]]),Tabla20[#All],5,FALSE)</f>
        <v>0</v>
      </c>
      <c r="L40" s="16">
        <f>Tabla38[[#This Row],[P2 + P5]]*VLOOKUP(MONTH(Tabla38[[#This Row],[Fecha final]]),Tabla20[#All],6,FALSE)</f>
        <v>0</v>
      </c>
      <c r="M40" s="16">
        <f>Tabla38[[#This Row],[P3 + P6]]*VLOOKUP(MONTH(Tabla38[[#This Row],[Fecha final]]),Tabla20[#All],7,FALSE)</f>
        <v>199</v>
      </c>
      <c r="N40" s="16">
        <f>YEAR(Tabla3[[#This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732</v>
      </c>
      <c r="G41" s="16">
        <v>577</v>
      </c>
      <c r="H41" s="16">
        <f>Tabla38[[#This Row],[P1 + P4]]*VLOOKUP(MONTH(Tabla38[[#This Row],[Fecha final]]),Tabla20[#All],2,FALSE)</f>
        <v>0</v>
      </c>
      <c r="I41" s="16">
        <f>Tabla38[[#This Row],[P2 + P5]]*VLOOKUP(MONTH(Tabla38[[#This Row],[Fecha final]]),Tabla20[#All],3,FALSE)</f>
        <v>732</v>
      </c>
      <c r="J41" s="16">
        <f>(Tabla38[[#This Row],[P3 + P6]])*VLOOKUP(MONTH(Tabla38[[#This Row],[Fecha final]]),Tabla20[#All],4,FALSE)</f>
        <v>172.9846</v>
      </c>
      <c r="K41" s="16">
        <f>Tabla38[[#This Row],[P1 + P4]]*VLOOKUP(MONTH(Tabla38[[#This Row],[Fecha final]]),Tabla20[#All],5,FALSE)</f>
        <v>0</v>
      </c>
      <c r="L41" s="16">
        <f>Tabla38[[#This Row],[P2 + P5]]*VLOOKUP(MONTH(Tabla38[[#This Row],[Fecha final]]),Tabla20[#All],6,FALSE)</f>
        <v>0</v>
      </c>
      <c r="M41" s="16">
        <f>Tabla38[[#This Row],[P3 + P6]]*VLOOKUP(MONTH(Tabla38[[#This Row],[Fecha final]]),Tabla20[#All],7,FALSE)</f>
        <v>404.0154</v>
      </c>
      <c r="N41" s="16">
        <f>YEAR(Tabla3[[#This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521</v>
      </c>
      <c r="B49" s="16" t="s">
        <v>74</v>
      </c>
      <c r="C49" s="16">
        <v>11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73</v>
      </c>
      <c r="B50" s="16" t="s">
        <v>521</v>
      </c>
      <c r="C50" s="16">
        <v>20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72</v>
      </c>
      <c r="B51" s="16" t="s">
        <v>73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71</v>
      </c>
      <c r="B52" s="16" t="s">
        <v>72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70</v>
      </c>
      <c r="B53" s="16" t="s">
        <v>71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69</v>
      </c>
      <c r="B54" s="16" t="s">
        <v>70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68</v>
      </c>
      <c r="B55" s="16" t="s">
        <v>69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67</v>
      </c>
      <c r="B56" s="16" t="s">
        <v>68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66</v>
      </c>
      <c r="B57" s="16" t="s">
        <v>67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65</v>
      </c>
      <c r="B58" s="16" t="s">
        <v>66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65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20</v>
      </c>
      <c r="F62" s="16">
        <v>0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55</v>
      </c>
      <c r="B66" s="16" t="s">
        <v>57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54</v>
      </c>
      <c r="B67" s="16" t="s">
        <v>55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53</v>
      </c>
      <c r="B68" s="16" t="s">
        <v>54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52</v>
      </c>
      <c r="B69" s="16" t="s">
        <v>53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52</v>
      </c>
      <c r="C70" s="16">
        <v>30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50</v>
      </c>
      <c r="B71" s="16" t="s">
        <v>51</v>
      </c>
      <c r="C71" s="16">
        <v>31</v>
      </c>
      <c r="D71" s="16" t="s">
        <v>42</v>
      </c>
      <c r="E71" s="16">
        <v>16</v>
      </c>
      <c r="F71" s="16">
        <v>38</v>
      </c>
      <c r="G71" s="16">
        <v>18</v>
      </c>
    </row>
    <row r="72" spans="1:7">
      <c r="A72" s="16" t="s">
        <v>136</v>
      </c>
      <c r="B72" s="16" t="s">
        <v>50</v>
      </c>
      <c r="C72" s="16">
        <v>25</v>
      </c>
      <c r="D72" s="16" t="s">
        <v>42</v>
      </c>
      <c r="E72" s="16">
        <v>2</v>
      </c>
      <c r="F72" s="16">
        <v>1</v>
      </c>
      <c r="G72" s="16">
        <v>2</v>
      </c>
    </row>
    <row r="73" spans="1:7">
      <c r="A73" s="16" t="s">
        <v>305</v>
      </c>
      <c r="B73" s="16" t="s">
        <v>136</v>
      </c>
      <c r="C73" s="16">
        <v>35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435</v>
      </c>
      <c r="B74" s="16" t="s">
        <v>305</v>
      </c>
      <c r="C74" s="16">
        <v>28</v>
      </c>
      <c r="D74" s="16" t="s">
        <v>42</v>
      </c>
      <c r="E74" s="16">
        <v>85</v>
      </c>
      <c r="F74" s="16">
        <v>83</v>
      </c>
      <c r="G74" s="16">
        <v>10</v>
      </c>
    </row>
    <row r="75" spans="1:7">
      <c r="A75" s="16" t="s">
        <v>45</v>
      </c>
      <c r="B75" s="16" t="s">
        <v>435</v>
      </c>
      <c r="C75" s="16">
        <v>32</v>
      </c>
      <c r="D75" s="16" t="s">
        <v>42</v>
      </c>
      <c r="E75" s="16">
        <v>117</v>
      </c>
      <c r="F75" s="16">
        <v>226</v>
      </c>
      <c r="G75" s="16">
        <v>39</v>
      </c>
    </row>
    <row r="76" spans="1:7">
      <c r="A76" s="16" t="s">
        <v>44</v>
      </c>
      <c r="B76" s="16" t="s">
        <v>45</v>
      </c>
      <c r="C76" s="16">
        <v>31</v>
      </c>
      <c r="D76" s="16" t="s">
        <v>42</v>
      </c>
      <c r="E76" s="16">
        <v>115</v>
      </c>
      <c r="F76" s="16">
        <v>111</v>
      </c>
      <c r="G76" s="16">
        <v>15</v>
      </c>
    </row>
    <row r="77" spans="1:7">
      <c r="A77" s="16" t="s">
        <v>522</v>
      </c>
      <c r="B77" s="16" t="s">
        <v>44</v>
      </c>
      <c r="C77" s="16">
        <v>28</v>
      </c>
      <c r="D77" s="16" t="s">
        <v>42</v>
      </c>
      <c r="E77" s="16">
        <v>97</v>
      </c>
      <c r="F77" s="16">
        <v>80</v>
      </c>
      <c r="G77" s="16">
        <v>7</v>
      </c>
    </row>
    <row r="78" spans="1:7">
      <c r="A78" s="16" t="s">
        <v>41</v>
      </c>
      <c r="B78" s="16" t="s">
        <v>522</v>
      </c>
      <c r="C78" s="16">
        <v>33</v>
      </c>
      <c r="D78" s="16" t="s">
        <v>42</v>
      </c>
      <c r="E78" s="16">
        <v>37</v>
      </c>
      <c r="F78" s="16">
        <v>119</v>
      </c>
      <c r="G78" s="16">
        <v>6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1</v>
      </c>
      <c r="F79" s="16">
        <v>76</v>
      </c>
      <c r="G79" s="16">
        <v>0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7</v>
      </c>
      <c r="F80" s="16">
        <v>59</v>
      </c>
      <c r="G80" s="16">
        <v>0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8</v>
      </c>
      <c r="F81" s="16">
        <v>51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20</v>
      </c>
      <c r="C87" s="16">
        <v>20</v>
      </c>
      <c r="D87" s="16">
        <v>20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14</v>
      </c>
      <c r="G89" s="16">
        <v>9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16</v>
      </c>
      <c r="F90" s="16">
        <v>11</v>
      </c>
      <c r="G90" s="16">
        <v>7</v>
      </c>
    </row>
    <row r="91" spans="1:7">
      <c r="A91" s="16" t="s">
        <v>521</v>
      </c>
      <c r="B91" s="16" t="s">
        <v>74</v>
      </c>
      <c r="C91" s="16">
        <v>11</v>
      </c>
      <c r="D91" s="16" t="s">
        <v>42</v>
      </c>
      <c r="E91" s="16">
        <v>15</v>
      </c>
      <c r="F91" s="16">
        <v>12</v>
      </c>
      <c r="G91" s="16">
        <v>10</v>
      </c>
    </row>
    <row r="92" spans="1:7">
      <c r="A92" s="16" t="s">
        <v>73</v>
      </c>
      <c r="B92" s="16" t="s">
        <v>521</v>
      </c>
      <c r="C92" s="16">
        <v>20</v>
      </c>
      <c r="D92" s="16" t="s">
        <v>42</v>
      </c>
      <c r="E92" s="16">
        <v>12</v>
      </c>
      <c r="F92" s="16">
        <v>10</v>
      </c>
      <c r="G92" s="16">
        <v>5</v>
      </c>
    </row>
    <row r="93" spans="1:7">
      <c r="A93" s="16" t="s">
        <v>72</v>
      </c>
      <c r="B93" s="16" t="s">
        <v>73</v>
      </c>
      <c r="C93" s="16">
        <v>31</v>
      </c>
      <c r="D93" s="16" t="s">
        <v>42</v>
      </c>
      <c r="E93" s="16">
        <v>10</v>
      </c>
      <c r="F93" s="16">
        <v>10</v>
      </c>
      <c r="G93" s="16">
        <v>10</v>
      </c>
    </row>
    <row r="94" spans="1:7">
      <c r="A94" s="16" t="s">
        <v>71</v>
      </c>
      <c r="B94" s="16" t="s">
        <v>72</v>
      </c>
      <c r="C94" s="16">
        <v>30</v>
      </c>
      <c r="D94" s="16" t="s">
        <v>42</v>
      </c>
      <c r="E94" s="16">
        <v>0</v>
      </c>
      <c r="F94" s="16">
        <v>10</v>
      </c>
      <c r="G94" s="16">
        <v>11</v>
      </c>
    </row>
    <row r="95" spans="1:7">
      <c r="A95" s="16" t="s">
        <v>70</v>
      </c>
      <c r="B95" s="16" t="s">
        <v>71</v>
      </c>
      <c r="C95" s="16">
        <v>31</v>
      </c>
      <c r="D95" s="16" t="s">
        <v>42</v>
      </c>
      <c r="E95" s="16">
        <v>3</v>
      </c>
      <c r="F95" s="16">
        <v>2</v>
      </c>
      <c r="G95" s="16">
        <v>1</v>
      </c>
    </row>
    <row r="96" spans="1:7">
      <c r="A96" s="16" t="s">
        <v>69</v>
      </c>
      <c r="B96" s="16" t="s">
        <v>70</v>
      </c>
      <c r="C96" s="16">
        <v>30</v>
      </c>
      <c r="D96" s="16" t="s">
        <v>42</v>
      </c>
      <c r="E96" s="16">
        <v>3</v>
      </c>
      <c r="F96" s="16">
        <v>0</v>
      </c>
      <c r="G96" s="16">
        <v>4</v>
      </c>
    </row>
    <row r="97" spans="1:7">
      <c r="A97" s="16" t="s">
        <v>68</v>
      </c>
      <c r="B97" s="16" t="s">
        <v>69</v>
      </c>
      <c r="C97" s="16">
        <v>31</v>
      </c>
      <c r="D97" s="16" t="s">
        <v>42</v>
      </c>
      <c r="E97" s="16">
        <v>13</v>
      </c>
      <c r="F97" s="16">
        <v>0</v>
      </c>
      <c r="G97" s="16">
        <v>13</v>
      </c>
    </row>
    <row r="98" spans="1:7">
      <c r="A98" s="16" t="s">
        <v>67</v>
      </c>
      <c r="B98" s="16" t="s">
        <v>68</v>
      </c>
      <c r="C98" s="16">
        <v>31</v>
      </c>
      <c r="D98" s="16" t="s">
        <v>42</v>
      </c>
      <c r="E98" s="16">
        <v>10</v>
      </c>
      <c r="F98" s="16">
        <v>7</v>
      </c>
      <c r="G98" s="16">
        <v>2</v>
      </c>
    </row>
    <row r="99" spans="1:7">
      <c r="A99" s="16" t="s">
        <v>66</v>
      </c>
      <c r="B99" s="16" t="s">
        <v>67</v>
      </c>
      <c r="C99" s="16">
        <v>30</v>
      </c>
      <c r="D99" s="16" t="s">
        <v>42</v>
      </c>
      <c r="E99" s="16">
        <v>7</v>
      </c>
      <c r="F99" s="16">
        <v>0</v>
      </c>
      <c r="G99" s="16">
        <v>7</v>
      </c>
    </row>
    <row r="100" spans="1:7">
      <c r="A100" s="16" t="s">
        <v>65</v>
      </c>
      <c r="B100" s="16" t="s">
        <v>66</v>
      </c>
      <c r="C100" s="16">
        <v>31</v>
      </c>
      <c r="D100" s="16" t="s">
        <v>42</v>
      </c>
      <c r="E100" s="16">
        <v>11</v>
      </c>
      <c r="F100" s="16">
        <v>6</v>
      </c>
      <c r="G100" s="16">
        <v>6</v>
      </c>
    </row>
    <row r="101" spans="1:7">
      <c r="A101" s="16" t="s">
        <v>63</v>
      </c>
      <c r="B101" s="16" t="s">
        <v>65</v>
      </c>
      <c r="C101" s="16">
        <v>30</v>
      </c>
      <c r="D101" s="16" t="s">
        <v>42</v>
      </c>
      <c r="E101" s="16">
        <v>12</v>
      </c>
      <c r="F101" s="16">
        <v>15</v>
      </c>
      <c r="G101" s="16">
        <v>14</v>
      </c>
    </row>
    <row r="102" spans="1:7">
      <c r="A102" s="16" t="s">
        <v>62</v>
      </c>
      <c r="B102" s="16" t="s">
        <v>63</v>
      </c>
      <c r="C102" s="16">
        <v>31</v>
      </c>
      <c r="D102" s="16" t="s">
        <v>42</v>
      </c>
      <c r="E102" s="16">
        <v>0</v>
      </c>
      <c r="F102" s="16">
        <v>9</v>
      </c>
      <c r="G102" s="16">
        <v>12</v>
      </c>
    </row>
    <row r="103" spans="1:7">
      <c r="A103" s="16" t="s">
        <v>61</v>
      </c>
      <c r="B103" s="16" t="s">
        <v>62</v>
      </c>
      <c r="C103" s="16">
        <v>28</v>
      </c>
      <c r="D103" s="16" t="s">
        <v>42</v>
      </c>
      <c r="E103" s="16">
        <v>12</v>
      </c>
      <c r="F103" s="16">
        <v>12</v>
      </c>
      <c r="G103" s="16">
        <v>12</v>
      </c>
    </row>
    <row r="104" spans="1:7">
      <c r="A104" s="16" t="s">
        <v>60</v>
      </c>
      <c r="B104" s="16" t="s">
        <v>61</v>
      </c>
      <c r="C104" s="16">
        <v>31</v>
      </c>
      <c r="D104" s="16" t="s">
        <v>42</v>
      </c>
      <c r="E104" s="16">
        <v>14</v>
      </c>
      <c r="F104" s="16">
        <v>14</v>
      </c>
      <c r="G104" s="16">
        <v>16</v>
      </c>
    </row>
    <row r="105" spans="1:7">
      <c r="A105" s="16" t="s">
        <v>59</v>
      </c>
      <c r="B105" s="16" t="s">
        <v>60</v>
      </c>
      <c r="C105" s="16">
        <v>29</v>
      </c>
      <c r="D105" s="16" t="s">
        <v>42</v>
      </c>
      <c r="E105" s="16">
        <v>15</v>
      </c>
      <c r="F105" s="16">
        <v>15</v>
      </c>
      <c r="G105" s="16">
        <v>13</v>
      </c>
    </row>
    <row r="106" spans="1:7">
      <c r="A106" s="16" t="s">
        <v>58</v>
      </c>
      <c r="B106" s="16" t="s">
        <v>59</v>
      </c>
      <c r="C106" s="16">
        <v>2</v>
      </c>
      <c r="D106" s="16" t="s">
        <v>42</v>
      </c>
      <c r="E106" s="16">
        <v>9</v>
      </c>
      <c r="F106" s="16">
        <v>11</v>
      </c>
      <c r="G106" s="16">
        <v>4</v>
      </c>
    </row>
    <row r="107" spans="1:7">
      <c r="A107" s="16" t="s">
        <v>57</v>
      </c>
      <c r="B107" s="16" t="s">
        <v>58</v>
      </c>
      <c r="C107" s="16">
        <v>30</v>
      </c>
      <c r="D107" s="16" t="s">
        <v>42</v>
      </c>
      <c r="E107" s="16">
        <v>0</v>
      </c>
      <c r="F107" s="16">
        <v>14</v>
      </c>
      <c r="G107" s="16">
        <v>17</v>
      </c>
    </row>
    <row r="108" spans="1:7">
      <c r="A108" s="16" t="s">
        <v>55</v>
      </c>
      <c r="B108" s="16" t="s">
        <v>57</v>
      </c>
      <c r="C108" s="16">
        <v>31</v>
      </c>
      <c r="D108" s="16" t="s">
        <v>42</v>
      </c>
      <c r="E108" s="16">
        <v>9</v>
      </c>
      <c r="F108" s="16">
        <v>9</v>
      </c>
      <c r="G108" s="16">
        <v>9</v>
      </c>
    </row>
    <row r="109" spans="1:7">
      <c r="A109" s="16" t="s">
        <v>54</v>
      </c>
      <c r="B109" s="16" t="s">
        <v>55</v>
      </c>
      <c r="C109" s="16">
        <v>30</v>
      </c>
      <c r="D109" s="16" t="s">
        <v>42</v>
      </c>
      <c r="E109" s="16">
        <v>17</v>
      </c>
      <c r="F109" s="16">
        <v>0</v>
      </c>
      <c r="G109" s="16">
        <v>17</v>
      </c>
    </row>
    <row r="110" spans="1:7">
      <c r="A110" s="16" t="s">
        <v>53</v>
      </c>
      <c r="B110" s="16" t="s">
        <v>54</v>
      </c>
      <c r="C110" s="16">
        <v>31</v>
      </c>
      <c r="D110" s="16" t="s">
        <v>42</v>
      </c>
      <c r="E110" s="16">
        <v>17</v>
      </c>
      <c r="F110" s="16">
        <v>0</v>
      </c>
      <c r="G110" s="16">
        <v>17</v>
      </c>
    </row>
    <row r="111" spans="1:7">
      <c r="A111" s="16" t="s">
        <v>52</v>
      </c>
      <c r="B111" s="16" t="s">
        <v>53</v>
      </c>
      <c r="C111" s="16">
        <v>31</v>
      </c>
      <c r="D111" s="16" t="s">
        <v>42</v>
      </c>
      <c r="E111" s="16">
        <v>6</v>
      </c>
      <c r="F111" s="16">
        <v>5</v>
      </c>
      <c r="G111" s="16">
        <v>3</v>
      </c>
    </row>
    <row r="112" spans="1:7">
      <c r="A112" s="16" t="s">
        <v>51</v>
      </c>
      <c r="B112" s="16" t="s">
        <v>52</v>
      </c>
      <c r="C112" s="16">
        <v>30</v>
      </c>
      <c r="D112" s="16" t="s">
        <v>42</v>
      </c>
      <c r="E112" s="16">
        <v>4</v>
      </c>
      <c r="F112" s="16">
        <v>0</v>
      </c>
      <c r="G112" s="16">
        <v>6</v>
      </c>
    </row>
    <row r="113" spans="1:7">
      <c r="A113" s="16" t="s">
        <v>50</v>
      </c>
      <c r="B113" s="16" t="s">
        <v>51</v>
      </c>
      <c r="C113" s="16">
        <v>31</v>
      </c>
      <c r="D113" s="16" t="s">
        <v>42</v>
      </c>
      <c r="E113" s="16">
        <v>1</v>
      </c>
      <c r="F113" s="16">
        <v>1</v>
      </c>
      <c r="G113" s="16">
        <v>0</v>
      </c>
    </row>
    <row r="114" spans="1:7">
      <c r="A114" s="16" t="s">
        <v>136</v>
      </c>
      <c r="B114" s="16" t="s">
        <v>50</v>
      </c>
      <c r="C114" s="16">
        <v>25</v>
      </c>
      <c r="D114" s="16" t="s">
        <v>42</v>
      </c>
      <c r="E114" s="16">
        <v>4</v>
      </c>
      <c r="F114" s="16">
        <v>3</v>
      </c>
      <c r="G114" s="16">
        <v>2</v>
      </c>
    </row>
    <row r="115" spans="1:7">
      <c r="A115" s="16" t="s">
        <v>305</v>
      </c>
      <c r="B115" s="16" t="s">
        <v>136</v>
      </c>
      <c r="C115" s="16">
        <v>35</v>
      </c>
      <c r="D115" s="16" t="s">
        <v>42</v>
      </c>
      <c r="E115" s="16">
        <v>17</v>
      </c>
      <c r="F115" s="16">
        <v>17</v>
      </c>
      <c r="G115" s="16">
        <v>17</v>
      </c>
    </row>
    <row r="116" spans="1:7">
      <c r="A116" s="16" t="s">
        <v>435</v>
      </c>
      <c r="B116" s="16" t="s">
        <v>305</v>
      </c>
      <c r="C116" s="16">
        <v>28</v>
      </c>
      <c r="D116" s="16" t="s">
        <v>42</v>
      </c>
      <c r="E116" s="16">
        <v>4</v>
      </c>
      <c r="F116" s="16">
        <v>9</v>
      </c>
      <c r="G116" s="16">
        <v>4</v>
      </c>
    </row>
    <row r="117" spans="1:7">
      <c r="A117" s="16" t="s">
        <v>45</v>
      </c>
      <c r="B117" s="16" t="s">
        <v>435</v>
      </c>
      <c r="C117" s="16">
        <v>32</v>
      </c>
      <c r="D117" s="16" t="s">
        <v>42</v>
      </c>
      <c r="E117" s="16">
        <v>17</v>
      </c>
      <c r="F117" s="16">
        <v>17</v>
      </c>
      <c r="G117" s="16">
        <v>17</v>
      </c>
    </row>
    <row r="118" spans="1:7">
      <c r="A118" s="16" t="s">
        <v>44</v>
      </c>
      <c r="B118" s="16" t="s">
        <v>45</v>
      </c>
      <c r="C118" s="16">
        <v>31</v>
      </c>
      <c r="D118" s="16" t="s">
        <v>42</v>
      </c>
      <c r="E118" s="16">
        <v>6</v>
      </c>
      <c r="F118" s="16">
        <v>12</v>
      </c>
      <c r="G118" s="16">
        <v>11</v>
      </c>
    </row>
    <row r="119" spans="1:7">
      <c r="A119" s="16" t="s">
        <v>522</v>
      </c>
      <c r="B119" s="16" t="s">
        <v>44</v>
      </c>
      <c r="C119" s="16">
        <v>28</v>
      </c>
      <c r="D119" s="16" t="s">
        <v>42</v>
      </c>
      <c r="E119" s="16">
        <v>17</v>
      </c>
      <c r="F119" s="16">
        <v>17</v>
      </c>
      <c r="G119" s="16">
        <v>17</v>
      </c>
    </row>
    <row r="120" spans="1:7">
      <c r="A120" s="16" t="s">
        <v>41</v>
      </c>
      <c r="B120" s="16" t="s">
        <v>522</v>
      </c>
      <c r="C120" s="16">
        <v>33</v>
      </c>
      <c r="D120" s="16" t="s">
        <v>42</v>
      </c>
      <c r="E120" s="16">
        <v>17</v>
      </c>
      <c r="F120" s="16">
        <v>17</v>
      </c>
      <c r="G120" s="16">
        <v>17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6</v>
      </c>
      <c r="F121" s="16">
        <v>5</v>
      </c>
      <c r="G121" s="16">
        <v>1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5</v>
      </c>
      <c r="F122" s="16">
        <v>5</v>
      </c>
      <c r="G122" s="16">
        <v>4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5</v>
      </c>
      <c r="F123" s="16">
        <v>4</v>
      </c>
      <c r="G123" s="16">
        <v>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85124-729A-4DEE-B352-602198EAED09}">
  <dimension ref="A1:I123"/>
  <sheetViews>
    <sheetView topLeftCell="A28" workbookViewId="0">
      <selection activeCell="I9" sqref="I9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9">
      <c r="A1" s="16" t="s">
        <v>30</v>
      </c>
    </row>
    <row r="3" spans="1:9">
      <c r="A3" s="16" t="s">
        <v>389</v>
      </c>
      <c r="B3" s="16" t="s">
        <v>32</v>
      </c>
      <c r="C3" s="16" t="s">
        <v>33</v>
      </c>
      <c r="D3" s="16" t="s">
        <v>34</v>
      </c>
    </row>
    <row r="4" spans="1:9">
      <c r="A4" s="16" t="s">
        <v>35</v>
      </c>
      <c r="B4" s="16">
        <v>1826</v>
      </c>
      <c r="C4" s="16">
        <v>1592</v>
      </c>
      <c r="D4" s="16">
        <v>1184</v>
      </c>
    </row>
    <row r="5" spans="1:9">
      <c r="A5" s="16" t="s">
        <v>36</v>
      </c>
      <c r="B5" s="16">
        <v>40</v>
      </c>
      <c r="C5" s="16">
        <v>35</v>
      </c>
      <c r="D5" s="16">
        <v>26</v>
      </c>
    </row>
    <row r="6" spans="1:9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</row>
    <row r="7" spans="1:9">
      <c r="A7" s="17">
        <v>44035</v>
      </c>
      <c r="B7" s="17">
        <v>44068</v>
      </c>
      <c r="C7" s="16">
        <v>33</v>
      </c>
      <c r="D7" s="16" t="s">
        <v>42</v>
      </c>
      <c r="E7" s="16">
        <v>370</v>
      </c>
      <c r="F7" s="16">
        <v>0</v>
      </c>
      <c r="G7" s="16">
        <v>0</v>
      </c>
      <c r="H7" s="16">
        <f>SUM(Tabla30[[#This Row],[P1 + P4]:[P2 + P5]])</f>
        <v>370</v>
      </c>
      <c r="I7" s="16">
        <f>Tabla30[[#This Row],[P3 + P6]]</f>
        <v>0</v>
      </c>
    </row>
    <row r="8" spans="1:9">
      <c r="A8" s="17">
        <v>44068</v>
      </c>
      <c r="B8" s="17">
        <v>44097</v>
      </c>
      <c r="C8" s="16">
        <v>29</v>
      </c>
      <c r="D8" s="16" t="s">
        <v>42</v>
      </c>
      <c r="E8" s="16">
        <v>293</v>
      </c>
      <c r="F8" s="16">
        <v>0</v>
      </c>
      <c r="G8" s="16">
        <v>0</v>
      </c>
      <c r="H8" s="16">
        <f>SUM(Tabla30[[#This Row],[P1 + P4]:[P2 + P5]])</f>
        <v>293</v>
      </c>
      <c r="I8" s="16">
        <f>Tabla30[[#This Row],[P3 + P6]]</f>
        <v>0</v>
      </c>
    </row>
    <row r="9" spans="1:9">
      <c r="A9" s="17">
        <v>44097</v>
      </c>
      <c r="B9" s="17">
        <v>44130</v>
      </c>
      <c r="C9" s="16">
        <v>33</v>
      </c>
      <c r="D9" s="16" t="s">
        <v>42</v>
      </c>
      <c r="E9" s="16">
        <v>413</v>
      </c>
      <c r="F9" s="16">
        <v>0</v>
      </c>
      <c r="G9" s="16">
        <v>0</v>
      </c>
      <c r="H9" s="16">
        <f>SUM(Tabla30[[#This Row],[P1 + P4]:[P2 + P5]])</f>
        <v>413</v>
      </c>
      <c r="I9" s="16">
        <f>Tabla30[[#This Row],[P3 + P6]]</f>
        <v>0</v>
      </c>
    </row>
    <row r="10" spans="1:9">
      <c r="A10" s="17">
        <v>44130</v>
      </c>
      <c r="B10" s="17">
        <v>44158</v>
      </c>
      <c r="C10" s="16">
        <v>28</v>
      </c>
      <c r="D10" s="16" t="s">
        <v>42</v>
      </c>
      <c r="E10" s="16">
        <v>413</v>
      </c>
      <c r="F10" s="16">
        <v>0</v>
      </c>
      <c r="G10" s="16">
        <v>0</v>
      </c>
      <c r="H10" s="16">
        <f>SUM(Tabla30[[#This Row],[P1 + P4]:[P2 + P5]])</f>
        <v>413</v>
      </c>
      <c r="I10" s="16">
        <f>Tabla30[[#This Row],[P3 + P6]]</f>
        <v>0</v>
      </c>
    </row>
    <row r="11" spans="1:9">
      <c r="A11" s="17">
        <v>44158</v>
      </c>
      <c r="B11" s="17">
        <v>44192</v>
      </c>
      <c r="C11" s="16">
        <v>34</v>
      </c>
      <c r="D11" s="16" t="s">
        <v>42</v>
      </c>
      <c r="E11" s="16">
        <v>630</v>
      </c>
      <c r="F11" s="16">
        <v>0</v>
      </c>
      <c r="G11" s="16">
        <v>0</v>
      </c>
      <c r="H11" s="16">
        <f>SUM(Tabla30[[#This Row],[P1 + P4]:[P2 + P5]])</f>
        <v>630</v>
      </c>
      <c r="I11" s="16">
        <f>Tabla30[[#This Row],[P3 + P6]]</f>
        <v>0</v>
      </c>
    </row>
    <row r="12" spans="1:9">
      <c r="A12" s="17">
        <v>44192</v>
      </c>
      <c r="B12" s="17">
        <v>44223</v>
      </c>
      <c r="C12" s="16">
        <v>31</v>
      </c>
      <c r="D12" s="16" t="s">
        <v>42</v>
      </c>
      <c r="E12" s="16">
        <v>693</v>
      </c>
      <c r="F12" s="16">
        <v>0</v>
      </c>
      <c r="G12" s="16">
        <v>0</v>
      </c>
      <c r="H12" s="16">
        <f>SUM(Tabla30[[#This Row],[P1 + P4]:[P2 + P5]])</f>
        <v>693</v>
      </c>
      <c r="I12" s="16">
        <f>Tabla30[[#This Row],[P3 + P6]]</f>
        <v>0</v>
      </c>
    </row>
    <row r="13" spans="1:9">
      <c r="A13" s="17">
        <v>44223</v>
      </c>
      <c r="B13" s="17">
        <v>44250</v>
      </c>
      <c r="C13" s="16">
        <v>27</v>
      </c>
      <c r="D13" s="16" t="s">
        <v>42</v>
      </c>
      <c r="E13" s="16">
        <v>452</v>
      </c>
      <c r="F13" s="16">
        <v>0</v>
      </c>
      <c r="G13" s="16">
        <v>0</v>
      </c>
      <c r="H13" s="16">
        <f>SUM(Tabla30[[#This Row],[P1 + P4]:[P2 + P5]])</f>
        <v>452</v>
      </c>
      <c r="I13" s="16">
        <f>Tabla30[[#This Row],[P3 + P6]]</f>
        <v>0</v>
      </c>
    </row>
    <row r="14" spans="1:9">
      <c r="A14" s="17">
        <v>44250</v>
      </c>
      <c r="B14" s="17">
        <v>44278</v>
      </c>
      <c r="C14" s="16">
        <v>28</v>
      </c>
      <c r="D14" s="16" t="s">
        <v>42</v>
      </c>
      <c r="E14" s="16">
        <v>444</v>
      </c>
      <c r="F14" s="16">
        <v>0</v>
      </c>
      <c r="G14" s="16">
        <v>0</v>
      </c>
      <c r="H14" s="16">
        <f>SUM(Tabla30[[#This Row],[P1 + P4]:[P2 + P5]])</f>
        <v>444</v>
      </c>
      <c r="I14" s="16">
        <f>Tabla30[[#This Row],[P3 + P6]]</f>
        <v>0</v>
      </c>
    </row>
    <row r="15" spans="1:9">
      <c r="A15" s="17">
        <v>44278</v>
      </c>
      <c r="B15" s="17">
        <v>44313</v>
      </c>
      <c r="C15" s="16">
        <v>35</v>
      </c>
      <c r="D15" s="16" t="s">
        <v>42</v>
      </c>
      <c r="E15" s="16">
        <v>481</v>
      </c>
      <c r="F15" s="16">
        <v>0</v>
      </c>
      <c r="G15" s="16">
        <v>0</v>
      </c>
      <c r="H15" s="16">
        <f>SUM(Tabla30[[#This Row],[P1 + P4]:[P2 + P5]])</f>
        <v>481</v>
      </c>
      <c r="I15" s="16">
        <f>Tabla30[[#This Row],[P3 + P6]]</f>
        <v>0</v>
      </c>
    </row>
    <row r="16" spans="1:9">
      <c r="A16" s="17">
        <v>44313</v>
      </c>
      <c r="B16" s="17">
        <v>44341</v>
      </c>
      <c r="C16" s="16">
        <v>28</v>
      </c>
      <c r="D16" s="16" t="s">
        <v>42</v>
      </c>
      <c r="E16" s="16">
        <v>341</v>
      </c>
      <c r="F16" s="16">
        <v>0</v>
      </c>
      <c r="G16" s="16">
        <v>0</v>
      </c>
      <c r="H16" s="16">
        <f>SUM(Tabla30[[#This Row],[P1 + P4]:[P2 + P5]])</f>
        <v>341</v>
      </c>
      <c r="I16" s="16">
        <f>Tabla30[[#This Row],[P3 + P6]]</f>
        <v>0</v>
      </c>
    </row>
    <row r="17" spans="1:9">
      <c r="A17" s="17">
        <v>44341</v>
      </c>
      <c r="B17" s="17">
        <v>44347</v>
      </c>
      <c r="C17" s="16">
        <v>6</v>
      </c>
      <c r="D17" s="16" t="s">
        <v>42</v>
      </c>
      <c r="E17" s="16">
        <v>79</v>
      </c>
      <c r="F17" s="16">
        <v>0</v>
      </c>
      <c r="G17" s="16">
        <v>0</v>
      </c>
      <c r="H17" s="16">
        <f>SUM(Tabla30[[#This Row],[P1 + P4]:[P2 + P5]])</f>
        <v>79</v>
      </c>
      <c r="I17" s="16">
        <f>Tabla30[[#This Row],[P3 + P6]]</f>
        <v>0</v>
      </c>
    </row>
    <row r="18" spans="1:9">
      <c r="A18" s="17">
        <v>44347</v>
      </c>
      <c r="B18" s="17">
        <v>44370</v>
      </c>
      <c r="C18" s="16">
        <v>23</v>
      </c>
      <c r="D18" s="16" t="s">
        <v>42</v>
      </c>
      <c r="E18" s="16">
        <v>85</v>
      </c>
      <c r="F18" s="16">
        <v>57</v>
      </c>
      <c r="G18" s="16">
        <v>76</v>
      </c>
      <c r="H18" s="16">
        <f>SUM(Tabla30[[#This Row],[P1 + P4]:[P2 + P5]])</f>
        <v>142</v>
      </c>
      <c r="I18" s="16">
        <f>Tabla30[[#This Row],[P3 + P6]]</f>
        <v>76</v>
      </c>
    </row>
    <row r="19" spans="1:9">
      <c r="A19" s="17">
        <v>44370</v>
      </c>
      <c r="B19" s="17">
        <v>44400</v>
      </c>
      <c r="C19" s="16">
        <v>30</v>
      </c>
      <c r="D19" s="16" t="s">
        <v>42</v>
      </c>
      <c r="E19" s="16">
        <v>117</v>
      </c>
      <c r="F19" s="16">
        <v>81</v>
      </c>
      <c r="G19" s="16">
        <v>98</v>
      </c>
      <c r="H19" s="16">
        <f>SUM(Tabla30[[#This Row],[P1 + P4]:[P2 + P5]])</f>
        <v>198</v>
      </c>
      <c r="I19" s="16">
        <f>Tabla30[[#This Row],[P3 + P6]]</f>
        <v>98</v>
      </c>
    </row>
    <row r="20" spans="1:9">
      <c r="A20" s="17">
        <v>44400</v>
      </c>
      <c r="B20" s="17">
        <v>44432</v>
      </c>
      <c r="C20" s="16">
        <v>32</v>
      </c>
      <c r="D20" s="16" t="s">
        <v>42</v>
      </c>
      <c r="E20" s="16">
        <v>119</v>
      </c>
      <c r="F20" s="16">
        <v>81</v>
      </c>
      <c r="G20" s="16">
        <v>106</v>
      </c>
      <c r="H20" s="16">
        <f>SUM(Tabla30[[#This Row],[P1 + P4]:[P2 + P5]])</f>
        <v>200</v>
      </c>
      <c r="I20" s="16">
        <f>Tabla30[[#This Row],[P3 + P6]]</f>
        <v>106</v>
      </c>
    </row>
    <row r="21" spans="1:9">
      <c r="A21" s="17">
        <v>44432</v>
      </c>
      <c r="B21" s="17">
        <v>44460</v>
      </c>
      <c r="C21" s="16">
        <v>28</v>
      </c>
      <c r="D21" s="16" t="s">
        <v>42</v>
      </c>
      <c r="E21" s="16">
        <v>108</v>
      </c>
      <c r="F21" s="16">
        <v>87</v>
      </c>
      <c r="G21" s="16">
        <v>97</v>
      </c>
      <c r="H21" s="16">
        <f>SUM(Tabla30[[#This Row],[P1 + P4]:[P2 + P5]])</f>
        <v>195</v>
      </c>
      <c r="I21" s="16">
        <f>Tabla30[[#This Row],[P3 + P6]]</f>
        <v>97</v>
      </c>
    </row>
    <row r="22" spans="1:9">
      <c r="A22" s="17">
        <v>44460</v>
      </c>
      <c r="B22" s="17">
        <v>44493</v>
      </c>
      <c r="C22" s="16">
        <v>33</v>
      </c>
      <c r="D22" s="16" t="s">
        <v>42</v>
      </c>
      <c r="E22" s="16">
        <v>131</v>
      </c>
      <c r="F22" s="16">
        <v>119</v>
      </c>
      <c r="G22" s="16">
        <v>132</v>
      </c>
      <c r="H22" s="16">
        <f>SUM(Tabla30[[#This Row],[P1 + P4]:[P2 + P5]])</f>
        <v>250</v>
      </c>
      <c r="I22" s="16">
        <f>Tabla30[[#This Row],[P3 + P6]]</f>
        <v>132</v>
      </c>
    </row>
    <row r="23" spans="1:9">
      <c r="A23" s="17">
        <v>44493</v>
      </c>
      <c r="B23" s="17">
        <v>44523</v>
      </c>
      <c r="C23" s="16">
        <v>30</v>
      </c>
      <c r="D23" s="16" t="s">
        <v>42</v>
      </c>
      <c r="E23" s="16">
        <v>183</v>
      </c>
      <c r="F23" s="16">
        <v>172</v>
      </c>
      <c r="G23" s="16">
        <v>140</v>
      </c>
      <c r="H23" s="16">
        <f>SUM(Tabla30[[#This Row],[P1 + P4]:[P2 + P5]])</f>
        <v>355</v>
      </c>
      <c r="I23" s="16">
        <f>Tabla30[[#This Row],[P3 + P6]]</f>
        <v>140</v>
      </c>
    </row>
    <row r="24" spans="1:9">
      <c r="A24" s="17">
        <v>44523</v>
      </c>
      <c r="B24" s="17">
        <v>44533</v>
      </c>
      <c r="C24" s="16">
        <v>10</v>
      </c>
      <c r="D24" s="16" t="s">
        <v>42</v>
      </c>
      <c r="E24" s="16">
        <v>93</v>
      </c>
      <c r="F24" s="16">
        <v>92</v>
      </c>
      <c r="G24" s="16">
        <v>38</v>
      </c>
      <c r="H24" s="16">
        <f>SUM(Tabla30[[#This Row],[P1 + P4]:[P2 + P5]])</f>
        <v>185</v>
      </c>
      <c r="I24" s="16">
        <f>Tabla30[[#This Row],[P3 + P6]]</f>
        <v>38</v>
      </c>
    </row>
    <row r="25" spans="1:9">
      <c r="A25" s="17">
        <v>44533</v>
      </c>
      <c r="B25" s="17">
        <v>44561</v>
      </c>
      <c r="C25" s="16">
        <v>28</v>
      </c>
      <c r="D25" s="16" t="s">
        <v>42</v>
      </c>
      <c r="E25" s="16">
        <v>159</v>
      </c>
      <c r="F25" s="16">
        <v>159</v>
      </c>
      <c r="G25" s="16">
        <v>101</v>
      </c>
      <c r="H25" s="16">
        <f>SUM(Tabla30[[#This Row],[P1 + P4]:[P2 + P5]])</f>
        <v>318</v>
      </c>
      <c r="I25" s="16">
        <f>Tabla30[[#This Row],[P3 + P6]]</f>
        <v>101</v>
      </c>
    </row>
    <row r="26" spans="1:9">
      <c r="A26" s="17">
        <v>44561</v>
      </c>
      <c r="B26" s="17">
        <v>44574</v>
      </c>
      <c r="C26" s="16">
        <v>13</v>
      </c>
      <c r="D26" s="16" t="s">
        <v>42</v>
      </c>
      <c r="E26" s="16">
        <v>22</v>
      </c>
      <c r="F26" s="16">
        <v>15</v>
      </c>
      <c r="G26" s="16">
        <v>36</v>
      </c>
      <c r="H26" s="16">
        <f>SUM(Tabla30[[#This Row],[P1 + P4]:[P2 + P5]])</f>
        <v>37</v>
      </c>
      <c r="I26" s="16">
        <f>Tabla30[[#This Row],[P3 + P6]]</f>
        <v>36</v>
      </c>
    </row>
    <row r="27" spans="1:9">
      <c r="A27" s="17">
        <v>44574</v>
      </c>
      <c r="B27" s="17">
        <v>44601</v>
      </c>
      <c r="C27" s="16">
        <v>27</v>
      </c>
      <c r="D27" s="16" t="s">
        <v>42</v>
      </c>
      <c r="E27" s="16">
        <v>134</v>
      </c>
      <c r="F27" s="16">
        <v>115</v>
      </c>
      <c r="G27" s="16">
        <v>80</v>
      </c>
      <c r="H27" s="16">
        <f>SUM(Tabla30[[#This Row],[P1 + P4]:[P2 + P5]])</f>
        <v>249</v>
      </c>
      <c r="I27" s="16">
        <f>Tabla30[[#This Row],[P3 + P6]]</f>
        <v>80</v>
      </c>
    </row>
    <row r="28" spans="1:9">
      <c r="A28" s="17">
        <v>44601</v>
      </c>
      <c r="B28" s="17">
        <v>44631</v>
      </c>
      <c r="C28" s="16">
        <v>30</v>
      </c>
      <c r="D28" s="16" t="s">
        <v>42</v>
      </c>
      <c r="E28" s="16">
        <v>236</v>
      </c>
      <c r="F28" s="16">
        <v>210</v>
      </c>
      <c r="G28" s="16">
        <v>113</v>
      </c>
      <c r="H28" s="16">
        <f>SUM(Tabla30[[#This Row],[P1 + P4]:[P2 + P5]])</f>
        <v>446</v>
      </c>
      <c r="I28" s="16">
        <f>Tabla30[[#This Row],[P3 + P6]]</f>
        <v>113</v>
      </c>
    </row>
    <row r="29" spans="1:9">
      <c r="A29" s="17">
        <v>44631</v>
      </c>
      <c r="B29" s="17">
        <v>44663</v>
      </c>
      <c r="C29" s="16">
        <v>32</v>
      </c>
      <c r="D29" s="16" t="s">
        <v>42</v>
      </c>
      <c r="E29" s="16">
        <v>218</v>
      </c>
      <c r="F29" s="16">
        <v>190</v>
      </c>
      <c r="G29" s="16">
        <v>109</v>
      </c>
      <c r="H29" s="16">
        <f>SUM(Tabla30[[#This Row],[P1 + P4]:[P2 + P5]])</f>
        <v>408</v>
      </c>
      <c r="I29" s="16">
        <f>Tabla30[[#This Row],[P3 + P6]]</f>
        <v>109</v>
      </c>
    </row>
    <row r="30" spans="1:9">
      <c r="A30" s="17">
        <v>44663</v>
      </c>
      <c r="B30" s="17">
        <v>44691</v>
      </c>
      <c r="C30" s="16">
        <v>28</v>
      </c>
      <c r="D30" s="16" t="s">
        <v>42</v>
      </c>
      <c r="E30" s="16">
        <v>126</v>
      </c>
      <c r="F30" s="16">
        <v>107</v>
      </c>
      <c r="G30" s="16">
        <v>85</v>
      </c>
      <c r="H30" s="16">
        <f>SUM(Tabla30[[#This Row],[P1 + P4]:[P2 + P5]])</f>
        <v>233</v>
      </c>
      <c r="I30" s="16">
        <f>Tabla30[[#This Row],[P3 + P6]]</f>
        <v>85</v>
      </c>
    </row>
    <row r="31" spans="1:9">
      <c r="A31" s="17">
        <v>44691</v>
      </c>
      <c r="B31" s="17">
        <v>44726</v>
      </c>
      <c r="C31" s="16">
        <v>35</v>
      </c>
      <c r="D31" s="16" t="s">
        <v>42</v>
      </c>
      <c r="E31" s="16">
        <v>128</v>
      </c>
      <c r="F31" s="16">
        <v>106</v>
      </c>
      <c r="G31" s="16">
        <v>114</v>
      </c>
      <c r="H31" s="16">
        <f>SUM(Tabla30[[#This Row],[P1 + P4]:[P2 + P5]])</f>
        <v>234</v>
      </c>
      <c r="I31" s="16">
        <f>Tabla30[[#This Row],[P3 + P6]]</f>
        <v>114</v>
      </c>
    </row>
    <row r="32" spans="1:9">
      <c r="A32" s="17">
        <v>44726</v>
      </c>
      <c r="B32" s="17">
        <v>44754</v>
      </c>
      <c r="C32" s="16">
        <v>28</v>
      </c>
      <c r="D32" s="16" t="s">
        <v>42</v>
      </c>
      <c r="E32" s="16">
        <v>126</v>
      </c>
      <c r="F32" s="16">
        <v>108</v>
      </c>
      <c r="G32" s="16">
        <v>91</v>
      </c>
      <c r="H32" s="16">
        <f>SUM(Tabla30[[#This Row],[P1 + P4]:[P2 + P5]])</f>
        <v>234</v>
      </c>
      <c r="I32" s="16">
        <f>Tabla30[[#This Row],[P3 + P6]]</f>
        <v>91</v>
      </c>
    </row>
    <row r="33" spans="1:9">
      <c r="A33" s="17">
        <v>44754</v>
      </c>
      <c r="B33" s="17">
        <v>44782</v>
      </c>
      <c r="C33" s="16">
        <v>28</v>
      </c>
      <c r="D33" s="16" t="s">
        <v>42</v>
      </c>
      <c r="E33" s="16">
        <v>125</v>
      </c>
      <c r="F33" s="16">
        <v>111</v>
      </c>
      <c r="G33" s="16">
        <v>79</v>
      </c>
      <c r="H33" s="16">
        <f>SUM(Tabla30[[#This Row],[P1 + P4]:[P2 + P5]])</f>
        <v>236</v>
      </c>
      <c r="I33" s="16">
        <f>Tabla30[[#This Row],[P3 + P6]]</f>
        <v>79</v>
      </c>
    </row>
    <row r="34" spans="1:9">
      <c r="A34" s="17">
        <v>44782</v>
      </c>
      <c r="B34" s="17">
        <v>44816</v>
      </c>
      <c r="C34" s="16">
        <v>34</v>
      </c>
      <c r="D34" s="16" t="s">
        <v>42</v>
      </c>
      <c r="E34" s="16">
        <v>141</v>
      </c>
      <c r="F34" s="16">
        <v>100</v>
      </c>
      <c r="G34" s="16">
        <v>98</v>
      </c>
      <c r="H34" s="16">
        <f>SUM(Tabla30[[#This Row],[P1 + P4]:[P2 + P5]])</f>
        <v>241</v>
      </c>
      <c r="I34" s="16">
        <f>Tabla30[[#This Row],[P3 + P6]]</f>
        <v>98</v>
      </c>
    </row>
    <row r="35" spans="1:9">
      <c r="A35" s="17">
        <v>44816</v>
      </c>
      <c r="B35" s="17">
        <v>44845</v>
      </c>
      <c r="C35" s="16">
        <v>29</v>
      </c>
      <c r="D35" s="16" t="s">
        <v>42</v>
      </c>
      <c r="E35" s="16">
        <v>98</v>
      </c>
      <c r="F35" s="16">
        <v>83</v>
      </c>
      <c r="G35" s="16">
        <v>78</v>
      </c>
      <c r="H35" s="16">
        <f>SUM(Tabla30[[#This Row],[P1 + P4]:[P2 + P5]])</f>
        <v>181</v>
      </c>
      <c r="I35" s="16">
        <f>Tabla30[[#This Row],[P3 + P6]]</f>
        <v>78</v>
      </c>
    </row>
    <row r="36" spans="1:9">
      <c r="A36" s="17">
        <v>44845</v>
      </c>
      <c r="B36" s="17">
        <v>44874</v>
      </c>
      <c r="C36" s="16">
        <v>29</v>
      </c>
      <c r="D36" s="16" t="s">
        <v>42</v>
      </c>
      <c r="E36" s="16">
        <v>92</v>
      </c>
      <c r="F36" s="16">
        <v>82</v>
      </c>
      <c r="G36" s="16">
        <v>95</v>
      </c>
      <c r="H36" s="16">
        <f>SUM(Tabla30[[#This Row],[P1 + P4]:[P2 + P5]])</f>
        <v>174</v>
      </c>
      <c r="I36" s="16">
        <f>Tabla30[[#This Row],[P3 + P6]]</f>
        <v>95</v>
      </c>
    </row>
    <row r="37" spans="1:9">
      <c r="A37" s="17">
        <v>44874</v>
      </c>
      <c r="B37" s="17">
        <v>44908</v>
      </c>
      <c r="C37" s="16">
        <v>34</v>
      </c>
      <c r="D37" s="16" t="s">
        <v>42</v>
      </c>
      <c r="E37" s="16">
        <v>166</v>
      </c>
      <c r="F37" s="16">
        <v>151</v>
      </c>
      <c r="G37" s="16">
        <v>140</v>
      </c>
      <c r="H37" s="16">
        <f>SUM(Tabla30[[#This Row],[P1 + P4]:[P2 + P5]])</f>
        <v>317</v>
      </c>
      <c r="I37" s="16">
        <f>Tabla30[[#This Row],[P3 + P6]]</f>
        <v>140</v>
      </c>
    </row>
    <row r="38" spans="1:9">
      <c r="A38" s="17">
        <v>44908</v>
      </c>
      <c r="B38" s="17">
        <v>44940</v>
      </c>
      <c r="C38" s="16">
        <v>32</v>
      </c>
      <c r="D38" s="16" t="s">
        <v>42</v>
      </c>
      <c r="E38" s="16">
        <v>195</v>
      </c>
      <c r="F38" s="16">
        <v>174</v>
      </c>
      <c r="G38" s="16">
        <v>103</v>
      </c>
      <c r="H38" s="16">
        <f>SUM(Tabla30[[#This Row],[P1 + P4]:[P2 + P5]])</f>
        <v>369</v>
      </c>
      <c r="I38" s="16">
        <f>Tabla30[[#This Row],[P3 + P6]]</f>
        <v>103</v>
      </c>
    </row>
    <row r="39" spans="1:9">
      <c r="A39" s="17">
        <v>44940</v>
      </c>
      <c r="B39" s="17">
        <v>44968</v>
      </c>
      <c r="C39" s="16">
        <v>28</v>
      </c>
      <c r="D39" s="16" t="s">
        <v>42</v>
      </c>
      <c r="E39" s="16">
        <v>262</v>
      </c>
      <c r="F39" s="16">
        <v>233</v>
      </c>
      <c r="G39" s="16">
        <v>104</v>
      </c>
      <c r="H39" s="16">
        <f>SUM(Tabla30[[#This Row],[P1 + P4]:[P2 + P5]])</f>
        <v>495</v>
      </c>
      <c r="I39" s="16">
        <f>Tabla30[[#This Row],[P3 + P6]]</f>
        <v>104</v>
      </c>
    </row>
    <row r="40" spans="1:9">
      <c r="A40" s="17">
        <v>44968</v>
      </c>
      <c r="B40" s="17">
        <v>44996</v>
      </c>
      <c r="C40" s="16">
        <v>28</v>
      </c>
      <c r="D40" s="16" t="s">
        <v>42</v>
      </c>
      <c r="E40" s="16">
        <v>216</v>
      </c>
      <c r="F40" s="16">
        <v>197</v>
      </c>
      <c r="G40" s="16">
        <v>95</v>
      </c>
      <c r="H40" s="16">
        <f>SUM(Tabla30[[#This Row],[P1 + P4]:[P2 + P5]])</f>
        <v>413</v>
      </c>
      <c r="I40" s="16">
        <f>Tabla30[[#This Row],[P3 + P6]]</f>
        <v>95</v>
      </c>
    </row>
    <row r="41" spans="1:9">
      <c r="A41" s="17">
        <v>44996</v>
      </c>
      <c r="B41" s="17">
        <v>45032</v>
      </c>
      <c r="C41" s="16">
        <v>36</v>
      </c>
      <c r="D41" s="16" t="s">
        <v>42</v>
      </c>
      <c r="E41" s="16">
        <v>157</v>
      </c>
      <c r="F41" s="16">
        <v>143</v>
      </c>
      <c r="G41" s="16">
        <v>110</v>
      </c>
      <c r="H41" s="16">
        <f>SUM(Tabla30[[#This Row],[P1 + P4]:[P2 + P5]])</f>
        <v>300</v>
      </c>
      <c r="I41" s="16">
        <f>Tabla30[[#This Row],[P3 + P6]]</f>
        <v>110</v>
      </c>
    </row>
    <row r="44" spans="1:9">
      <c r="A44" s="16" t="s">
        <v>77</v>
      </c>
    </row>
    <row r="46" spans="1:9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9">
      <c r="A47" s="16" t="s">
        <v>390</v>
      </c>
      <c r="B47" s="16" t="s">
        <v>99</v>
      </c>
      <c r="C47" s="16">
        <v>36</v>
      </c>
      <c r="D47" s="16" t="s">
        <v>42</v>
      </c>
      <c r="E47" s="16">
        <v>0</v>
      </c>
      <c r="F47" s="16">
        <v>0</v>
      </c>
      <c r="G47" s="16">
        <v>0</v>
      </c>
    </row>
    <row r="48" spans="1:9">
      <c r="A48" s="16" t="s">
        <v>391</v>
      </c>
      <c r="B48" s="16" t="s">
        <v>390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392</v>
      </c>
      <c r="B49" s="16" t="s">
        <v>391</v>
      </c>
      <c r="C49" s="16">
        <v>28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393</v>
      </c>
      <c r="B50" s="16" t="s">
        <v>392</v>
      </c>
      <c r="C50" s="16">
        <v>32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394</v>
      </c>
      <c r="B51" s="16" t="s">
        <v>393</v>
      </c>
      <c r="C51" s="16">
        <v>34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395</v>
      </c>
      <c r="B52" s="16" t="s">
        <v>394</v>
      </c>
      <c r="C52" s="16">
        <v>29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396</v>
      </c>
      <c r="B53" s="16" t="s">
        <v>395</v>
      </c>
      <c r="C53" s="16">
        <v>29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397</v>
      </c>
      <c r="B54" s="16" t="s">
        <v>396</v>
      </c>
      <c r="C54" s="16">
        <v>34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398</v>
      </c>
      <c r="B55" s="16" t="s">
        <v>397</v>
      </c>
      <c r="C55" s="16">
        <v>28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108</v>
      </c>
      <c r="B56" s="16" t="s">
        <v>398</v>
      </c>
      <c r="C56" s="16">
        <v>28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399</v>
      </c>
      <c r="B57" s="16" t="s">
        <v>108</v>
      </c>
      <c r="C57" s="16">
        <v>35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110</v>
      </c>
      <c r="B58" s="16" t="s">
        <v>399</v>
      </c>
      <c r="C58" s="16">
        <v>28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400</v>
      </c>
      <c r="B59" s="16" t="s">
        <v>110</v>
      </c>
      <c r="C59" s="16">
        <v>32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326</v>
      </c>
      <c r="B60" s="16" t="s">
        <v>400</v>
      </c>
      <c r="C60" s="16">
        <v>30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113</v>
      </c>
      <c r="B61" s="16" t="s">
        <v>326</v>
      </c>
      <c r="C61" s="16">
        <v>27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113</v>
      </c>
      <c r="C62" s="16">
        <v>13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115</v>
      </c>
      <c r="B63" s="16" t="s">
        <v>60</v>
      </c>
      <c r="C63" s="16">
        <v>28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116</v>
      </c>
      <c r="B64" s="16" t="s">
        <v>115</v>
      </c>
      <c r="C64" s="16">
        <v>10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401</v>
      </c>
      <c r="B65" s="16" t="s">
        <v>116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402</v>
      </c>
      <c r="B66" s="16" t="s">
        <v>401</v>
      </c>
      <c r="C66" s="16">
        <v>33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248</v>
      </c>
      <c r="B67" s="16" t="s">
        <v>402</v>
      </c>
      <c r="C67" s="16">
        <v>28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403</v>
      </c>
      <c r="B68" s="16" t="s">
        <v>248</v>
      </c>
      <c r="C68" s="16">
        <v>32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404</v>
      </c>
      <c r="B69" s="16" t="s">
        <v>403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404</v>
      </c>
      <c r="C70" s="16">
        <v>23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122</v>
      </c>
      <c r="B71" s="16" t="s">
        <v>51</v>
      </c>
      <c r="C71" s="16">
        <v>6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123</v>
      </c>
      <c r="B72" s="16" t="s">
        <v>122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124</v>
      </c>
      <c r="B73" s="16" t="s">
        <v>123</v>
      </c>
      <c r="C73" s="16">
        <v>35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125</v>
      </c>
      <c r="B74" s="16" t="s">
        <v>124</v>
      </c>
      <c r="C74" s="16">
        <v>28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126</v>
      </c>
      <c r="B75" s="16" t="s">
        <v>125</v>
      </c>
      <c r="C75" s="16">
        <v>27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127</v>
      </c>
      <c r="B76" s="16" t="s">
        <v>126</v>
      </c>
      <c r="C76" s="16">
        <v>31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405</v>
      </c>
      <c r="B77" s="16" t="s">
        <v>127</v>
      </c>
      <c r="C77" s="16">
        <v>34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129</v>
      </c>
      <c r="B78" s="16" t="s">
        <v>405</v>
      </c>
      <c r="C78" s="16">
        <v>28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406</v>
      </c>
      <c r="B79" s="16" t="s">
        <v>129</v>
      </c>
      <c r="C79" s="16">
        <v>33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137</v>
      </c>
      <c r="B80" s="16" t="s">
        <v>406</v>
      </c>
      <c r="C80" s="16">
        <v>29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387</v>
      </c>
      <c r="B81" s="16" t="s">
        <v>137</v>
      </c>
      <c r="C81" s="16">
        <v>33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10</v>
      </c>
      <c r="C87" s="16">
        <v>10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390</v>
      </c>
      <c r="B89" s="16" t="s">
        <v>99</v>
      </c>
      <c r="C89" s="16">
        <v>36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391</v>
      </c>
      <c r="B90" s="16" t="s">
        <v>390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392</v>
      </c>
      <c r="B91" s="16" t="s">
        <v>391</v>
      </c>
      <c r="C91" s="16">
        <v>28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393</v>
      </c>
      <c r="B92" s="16" t="s">
        <v>392</v>
      </c>
      <c r="C92" s="16">
        <v>32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394</v>
      </c>
      <c r="B93" s="16" t="s">
        <v>393</v>
      </c>
      <c r="C93" s="16">
        <v>34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395</v>
      </c>
      <c r="B94" s="16" t="s">
        <v>394</v>
      </c>
      <c r="C94" s="16">
        <v>29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396</v>
      </c>
      <c r="B95" s="16" t="s">
        <v>395</v>
      </c>
      <c r="C95" s="16">
        <v>29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397</v>
      </c>
      <c r="B96" s="16" t="s">
        <v>396</v>
      </c>
      <c r="C96" s="16">
        <v>34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398</v>
      </c>
      <c r="B97" s="16" t="s">
        <v>397</v>
      </c>
      <c r="C97" s="16">
        <v>28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108</v>
      </c>
      <c r="B98" s="16" t="s">
        <v>398</v>
      </c>
      <c r="C98" s="16">
        <v>28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399</v>
      </c>
      <c r="B99" s="16" t="s">
        <v>108</v>
      </c>
      <c r="C99" s="16">
        <v>35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110</v>
      </c>
      <c r="B100" s="16" t="s">
        <v>399</v>
      </c>
      <c r="C100" s="16">
        <v>28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400</v>
      </c>
      <c r="B101" s="16" t="s">
        <v>110</v>
      </c>
      <c r="C101" s="16">
        <v>32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326</v>
      </c>
      <c r="B102" s="16" t="s">
        <v>400</v>
      </c>
      <c r="C102" s="16">
        <v>30</v>
      </c>
      <c r="D102" s="16" t="s">
        <v>42</v>
      </c>
      <c r="E102" s="16">
        <v>10</v>
      </c>
      <c r="F102" s="16">
        <v>10</v>
      </c>
      <c r="G102" s="16">
        <v>0</v>
      </c>
    </row>
    <row r="103" spans="1:7">
      <c r="A103" s="16" t="s">
        <v>113</v>
      </c>
      <c r="B103" s="16" t="s">
        <v>326</v>
      </c>
      <c r="C103" s="16">
        <v>27</v>
      </c>
      <c r="D103" s="16" t="s">
        <v>42</v>
      </c>
      <c r="E103" s="16">
        <v>10</v>
      </c>
      <c r="F103" s="16">
        <v>10</v>
      </c>
      <c r="G103" s="16">
        <v>0</v>
      </c>
    </row>
    <row r="104" spans="1:7">
      <c r="A104" s="16" t="s">
        <v>60</v>
      </c>
      <c r="B104" s="16" t="s">
        <v>113</v>
      </c>
      <c r="C104" s="16">
        <v>13</v>
      </c>
      <c r="D104" s="16" t="s">
        <v>42</v>
      </c>
      <c r="E104" s="16">
        <v>10</v>
      </c>
      <c r="F104" s="16">
        <v>10</v>
      </c>
      <c r="G104" s="16">
        <v>0</v>
      </c>
    </row>
    <row r="105" spans="1:7">
      <c r="A105" s="16" t="s">
        <v>115</v>
      </c>
      <c r="B105" s="16" t="s">
        <v>60</v>
      </c>
      <c r="C105" s="16">
        <v>28</v>
      </c>
      <c r="D105" s="16" t="s">
        <v>42</v>
      </c>
      <c r="E105" s="16">
        <v>10</v>
      </c>
      <c r="F105" s="16">
        <v>10</v>
      </c>
      <c r="G105" s="16">
        <v>0</v>
      </c>
    </row>
    <row r="106" spans="1:7">
      <c r="A106" s="16" t="s">
        <v>116</v>
      </c>
      <c r="B106" s="16" t="s">
        <v>115</v>
      </c>
      <c r="C106" s="16">
        <v>10</v>
      </c>
      <c r="D106" s="16" t="s">
        <v>42</v>
      </c>
      <c r="E106" s="16">
        <v>10</v>
      </c>
      <c r="F106" s="16">
        <v>10</v>
      </c>
      <c r="G106" s="16">
        <v>0</v>
      </c>
    </row>
    <row r="107" spans="1:7">
      <c r="A107" s="16" t="s">
        <v>401</v>
      </c>
      <c r="B107" s="16" t="s">
        <v>116</v>
      </c>
      <c r="C107" s="16">
        <v>30</v>
      </c>
      <c r="D107" s="16" t="s">
        <v>42</v>
      </c>
      <c r="E107" s="16">
        <v>10</v>
      </c>
      <c r="F107" s="16">
        <v>10</v>
      </c>
      <c r="G107" s="16">
        <v>0</v>
      </c>
    </row>
    <row r="108" spans="1:7">
      <c r="A108" s="16" t="s">
        <v>402</v>
      </c>
      <c r="B108" s="16" t="s">
        <v>401</v>
      </c>
      <c r="C108" s="16">
        <v>33</v>
      </c>
      <c r="D108" s="16" t="s">
        <v>42</v>
      </c>
      <c r="E108" s="16">
        <v>10</v>
      </c>
      <c r="F108" s="16">
        <v>10</v>
      </c>
      <c r="G108" s="16">
        <v>0</v>
      </c>
    </row>
    <row r="109" spans="1:7">
      <c r="A109" s="16" t="s">
        <v>248</v>
      </c>
      <c r="B109" s="16" t="s">
        <v>402</v>
      </c>
      <c r="C109" s="16">
        <v>28</v>
      </c>
      <c r="D109" s="16" t="s">
        <v>42</v>
      </c>
      <c r="E109" s="16">
        <v>10</v>
      </c>
      <c r="F109" s="16">
        <v>10</v>
      </c>
      <c r="G109" s="16">
        <v>0</v>
      </c>
    </row>
    <row r="110" spans="1:7">
      <c r="A110" s="16" t="s">
        <v>403</v>
      </c>
      <c r="B110" s="16" t="s">
        <v>248</v>
      </c>
      <c r="C110" s="16">
        <v>32</v>
      </c>
      <c r="D110" s="16" t="s">
        <v>42</v>
      </c>
      <c r="E110" s="16">
        <v>10</v>
      </c>
      <c r="F110" s="16">
        <v>10</v>
      </c>
      <c r="G110" s="16">
        <v>0</v>
      </c>
    </row>
    <row r="111" spans="1:7">
      <c r="A111" s="16" t="s">
        <v>404</v>
      </c>
      <c r="B111" s="16" t="s">
        <v>403</v>
      </c>
      <c r="C111" s="16">
        <v>30</v>
      </c>
      <c r="D111" s="16" t="s">
        <v>42</v>
      </c>
      <c r="E111" s="16">
        <v>10</v>
      </c>
      <c r="F111" s="16">
        <v>10</v>
      </c>
      <c r="G111" s="16">
        <v>0</v>
      </c>
    </row>
    <row r="112" spans="1:7">
      <c r="A112" s="16" t="s">
        <v>51</v>
      </c>
      <c r="B112" s="16" t="s">
        <v>404</v>
      </c>
      <c r="C112" s="16">
        <v>23</v>
      </c>
      <c r="D112" s="16" t="s">
        <v>42</v>
      </c>
      <c r="E112" s="16">
        <v>10</v>
      </c>
      <c r="F112" s="16">
        <v>10</v>
      </c>
      <c r="G112" s="16">
        <v>0</v>
      </c>
    </row>
    <row r="113" spans="1:7">
      <c r="A113" s="16" t="s">
        <v>122</v>
      </c>
      <c r="B113" s="16" t="s">
        <v>51</v>
      </c>
      <c r="C113" s="16">
        <v>6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123</v>
      </c>
      <c r="B114" s="16" t="s">
        <v>122</v>
      </c>
      <c r="C114" s="16">
        <v>28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124</v>
      </c>
      <c r="B115" s="16" t="s">
        <v>123</v>
      </c>
      <c r="C115" s="16">
        <v>35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125</v>
      </c>
      <c r="B116" s="16" t="s">
        <v>124</v>
      </c>
      <c r="C116" s="16">
        <v>28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126</v>
      </c>
      <c r="B117" s="16" t="s">
        <v>125</v>
      </c>
      <c r="C117" s="16">
        <v>27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127</v>
      </c>
      <c r="B118" s="16" t="s">
        <v>126</v>
      </c>
      <c r="C118" s="16">
        <v>31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405</v>
      </c>
      <c r="B119" s="16" t="s">
        <v>127</v>
      </c>
      <c r="C119" s="16">
        <v>34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129</v>
      </c>
      <c r="B120" s="16" t="s">
        <v>405</v>
      </c>
      <c r="C120" s="16">
        <v>28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406</v>
      </c>
      <c r="B121" s="16" t="s">
        <v>129</v>
      </c>
      <c r="C121" s="16">
        <v>33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137</v>
      </c>
      <c r="B122" s="16" t="s">
        <v>406</v>
      </c>
      <c r="C122" s="16">
        <v>29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387</v>
      </c>
      <c r="B123" s="16" t="s">
        <v>137</v>
      </c>
      <c r="C123" s="16">
        <v>33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D45B-2C3F-4F0D-BF65-2565CF8FC739}">
  <dimension ref="A1:N129"/>
  <sheetViews>
    <sheetView topLeftCell="A19" workbookViewId="0">
      <selection activeCell="H27" sqref="H27:M39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381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7807</v>
      </c>
      <c r="C4" s="16">
        <v>3338</v>
      </c>
      <c r="D4" s="16">
        <v>6516</v>
      </c>
    </row>
    <row r="5" spans="1:14">
      <c r="A5" s="16" t="s">
        <v>36</v>
      </c>
      <c r="B5" s="16">
        <v>44</v>
      </c>
      <c r="C5" s="16">
        <v>19</v>
      </c>
      <c r="D5" s="16">
        <v>37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43995</v>
      </c>
      <c r="B7" s="17">
        <v>44035</v>
      </c>
      <c r="C7" s="16">
        <v>40</v>
      </c>
      <c r="D7" s="16" t="s">
        <v>42</v>
      </c>
      <c r="E7" s="16">
        <v>1154</v>
      </c>
      <c r="F7" s="16">
        <v>1281</v>
      </c>
      <c r="G7" s="16">
        <v>218</v>
      </c>
      <c r="H7" s="16">
        <f>Tabla29[[#This Row],[P1 + P4]]*VLOOKUP(MONTH(Tabla29[[#This Row],[Fecha final]]),Tabla20[#All],2,FALSE)</f>
        <v>1154</v>
      </c>
      <c r="I7" s="16">
        <f>Tabla29[[#This Row],[P2 + P5]]*VLOOKUP(MONTH(Tabla29[[#This Row],[Fecha final]]),Tabla20[#All],3,FALSE)</f>
        <v>1281</v>
      </c>
      <c r="J7" s="16">
        <f>(Tabla29[[#This Row],[P3 + P6]])*VLOOKUP(MONTH(Tabla29[[#This Row],[Fecha final]]),Tabla20[#All],4,FALSE)</f>
        <v>0</v>
      </c>
      <c r="K7" s="16">
        <f>Tabla29[[#This Row],[P1 + P4]]*VLOOKUP(MONTH(Tabla29[[#This Row],[Fecha final]]),Tabla20[#All],5,FALSE)</f>
        <v>0</v>
      </c>
      <c r="L7" s="16">
        <f>Tabla29[[#This Row],[P2 + P5]]*VLOOKUP(MONTH(Tabla29[[#This Row],[Fecha final]]),Tabla20[#All],6,FALSE)</f>
        <v>0</v>
      </c>
      <c r="M7" s="16">
        <f>Tabla29[[#This Row],[P3 + P6]]*VLOOKUP(MONTH(Tabla29[[#This Row],[Fecha final]]),Tabla20[#All],7,FALSE)</f>
        <v>218</v>
      </c>
      <c r="N7" s="16">
        <f>YEAR(Tabla29[[#This Row],[Fecha final]])</f>
        <v>2020</v>
      </c>
    </row>
    <row r="8" spans="1:14">
      <c r="A8" s="17">
        <v>44035</v>
      </c>
      <c r="B8" s="17">
        <v>44076</v>
      </c>
      <c r="C8" s="16">
        <v>41</v>
      </c>
      <c r="D8" s="16" t="s">
        <v>42</v>
      </c>
      <c r="E8" s="16">
        <v>976</v>
      </c>
      <c r="F8" s="16">
        <v>1230</v>
      </c>
      <c r="G8" s="16">
        <v>240</v>
      </c>
      <c r="H8" s="16">
        <f>Tabla29[[#This Row],[P1 + P4]]*VLOOKUP(MONTH(Tabla29[[#This Row],[Fecha final]]),Tabla20[#All],2,FALSE)</f>
        <v>0</v>
      </c>
      <c r="I8" s="16">
        <f>Tabla29[[#This Row],[P2 + P5]]*VLOOKUP(MONTH(Tabla29[[#This Row],[Fecha final]]),Tabla20[#All],3,FALSE)</f>
        <v>0</v>
      </c>
      <c r="J8" s="16">
        <f>(Tabla29[[#This Row],[P3 + P6]])*VLOOKUP(MONTH(Tabla29[[#This Row],[Fecha final]]),Tabla20[#All],4,FALSE)</f>
        <v>83.951999999999998</v>
      </c>
      <c r="K8" s="16">
        <f>Tabla29[[#This Row],[P1 + P4]]*VLOOKUP(MONTH(Tabla29[[#This Row],[Fecha final]]),Tabla20[#All],5,FALSE)</f>
        <v>976</v>
      </c>
      <c r="L8" s="16">
        <f>Tabla29[[#This Row],[P2 + P5]]*VLOOKUP(MONTH(Tabla29[[#This Row],[Fecha final]]),Tabla20[#All],6,FALSE)</f>
        <v>0</v>
      </c>
      <c r="M8" s="16">
        <f>Tabla29[[#This Row],[P3 + P6]]*VLOOKUP(MONTH(Tabla29[[#This Row],[Fecha final]]),Tabla20[#All],7,FALSE)</f>
        <v>156.048</v>
      </c>
      <c r="N8" s="16">
        <f>YEAR(Tabla29[[#This Row],[Fecha final]])</f>
        <v>2020</v>
      </c>
    </row>
    <row r="9" spans="1:14">
      <c r="A9" s="17">
        <v>44076</v>
      </c>
      <c r="B9" s="17">
        <v>44106</v>
      </c>
      <c r="C9" s="16">
        <v>30</v>
      </c>
      <c r="D9" s="16" t="s">
        <v>42</v>
      </c>
      <c r="E9" s="16">
        <v>497</v>
      </c>
      <c r="F9" s="16">
        <v>663</v>
      </c>
      <c r="G9" s="16">
        <v>171</v>
      </c>
      <c r="H9" s="16">
        <f>Tabla29[[#This Row],[P1 + P4]]*VLOOKUP(MONTH(Tabla29[[#This Row],[Fecha final]]),Tabla20[#All],2,FALSE)</f>
        <v>0</v>
      </c>
      <c r="I9" s="16">
        <f>Tabla29[[#This Row],[P2 + P5]]*VLOOKUP(MONTH(Tabla29[[#This Row],[Fecha final]]),Tabla20[#All],3,FALSE)</f>
        <v>0</v>
      </c>
      <c r="J9" s="16">
        <f>(Tabla29[[#This Row],[P3 + P6]])*VLOOKUP(MONTH(Tabla29[[#This Row],[Fecha final]]),Tabla20[#All],4,FALSE)</f>
        <v>0</v>
      </c>
      <c r="K9" s="16">
        <f>Tabla29[[#This Row],[P1 + P4]]*VLOOKUP(MONTH(Tabla29[[#This Row],[Fecha final]]),Tabla20[#All],5,FALSE)</f>
        <v>497</v>
      </c>
      <c r="L9" s="16">
        <f>Tabla29[[#This Row],[P2 + P5]]*VLOOKUP(MONTH(Tabla29[[#This Row],[Fecha final]]),Tabla20[#All],6,FALSE)</f>
        <v>663</v>
      </c>
      <c r="M9" s="16">
        <f>Tabla29[[#This Row],[P3 + P6]]*VLOOKUP(MONTH(Tabla29[[#This Row],[Fecha final]]),Tabla20[#All],7,FALSE)</f>
        <v>171</v>
      </c>
      <c r="N9" s="16">
        <f>YEAR(Tabla29[[#This Row],[Fecha final]])</f>
        <v>2020</v>
      </c>
    </row>
    <row r="10" spans="1:14">
      <c r="A10" s="17">
        <v>44106</v>
      </c>
      <c r="B10" s="17">
        <v>44135</v>
      </c>
      <c r="C10" s="16">
        <v>29</v>
      </c>
      <c r="D10" s="16" t="s">
        <v>42</v>
      </c>
      <c r="E10" s="16">
        <v>625</v>
      </c>
      <c r="F10" s="16">
        <v>1057</v>
      </c>
      <c r="G10" s="16">
        <v>202</v>
      </c>
      <c r="H10" s="16">
        <f>Tabla29[[#This Row],[P1 + P4]]*VLOOKUP(MONTH(Tabla29[[#This Row],[Fecha final]]),Tabla20[#All],2,FALSE)</f>
        <v>0</v>
      </c>
      <c r="I10" s="16">
        <f>Tabla29[[#This Row],[P2 + P5]]*VLOOKUP(MONTH(Tabla29[[#This Row],[Fecha final]]),Tabla20[#All],3,FALSE)</f>
        <v>0</v>
      </c>
      <c r="J10" s="16">
        <f>(Tabla29[[#This Row],[P3 + P6]])*VLOOKUP(MONTH(Tabla29[[#This Row],[Fecha final]]),Tabla20[#All],4,FALSE)</f>
        <v>0</v>
      </c>
      <c r="K10" s="16">
        <f>Tabla29[[#This Row],[P1 + P4]]*VLOOKUP(MONTH(Tabla29[[#This Row],[Fecha final]]),Tabla20[#All],5,FALSE)</f>
        <v>625</v>
      </c>
      <c r="L10" s="16">
        <f>Tabla29[[#This Row],[P2 + P5]]*VLOOKUP(MONTH(Tabla29[[#This Row],[Fecha final]]),Tabla20[#All],6,FALSE)</f>
        <v>1057</v>
      </c>
      <c r="M10" s="16">
        <f>Tabla29[[#This Row],[P3 + P6]]*VLOOKUP(MONTH(Tabla29[[#This Row],[Fecha final]]),Tabla20[#All],7,FALSE)</f>
        <v>202</v>
      </c>
      <c r="N10" s="16">
        <f>YEAR(Tabla29[[#This Row],[Fecha final]])</f>
        <v>2020</v>
      </c>
    </row>
    <row r="11" spans="1:14">
      <c r="A11" s="17">
        <v>44135</v>
      </c>
      <c r="B11" s="17">
        <v>44140</v>
      </c>
      <c r="C11" s="16">
        <v>5</v>
      </c>
      <c r="D11" s="16" t="s">
        <v>42</v>
      </c>
      <c r="E11" s="16">
        <v>14</v>
      </c>
      <c r="F11" s="16">
        <v>167</v>
      </c>
      <c r="G11" s="16">
        <v>30</v>
      </c>
      <c r="H11" s="16">
        <f>Tabla29[[#This Row],[P1 + P4]]*VLOOKUP(MONTH(Tabla29[[#This Row],[Fecha final]]),Tabla20[#All],2,FALSE)</f>
        <v>0</v>
      </c>
      <c r="I11" s="16">
        <f>Tabla29[[#This Row],[P2 + P5]]*VLOOKUP(MONTH(Tabla29[[#This Row],[Fecha final]]),Tabla20[#All],3,FALSE)</f>
        <v>167</v>
      </c>
      <c r="J11" s="16">
        <f>(Tabla29[[#This Row],[P3 + P6]])*VLOOKUP(MONTH(Tabla29[[#This Row],[Fecha final]]),Tabla20[#All],4,FALSE)</f>
        <v>8.3040000000000003</v>
      </c>
      <c r="K11" s="16">
        <f>Tabla29[[#This Row],[P1 + P4]]*VLOOKUP(MONTH(Tabla29[[#This Row],[Fecha final]]),Tabla20[#All],5,FALSE)</f>
        <v>0</v>
      </c>
      <c r="L11" s="16">
        <f>Tabla29[[#This Row],[P2 + P5]]*VLOOKUP(MONTH(Tabla29[[#This Row],[Fecha final]]),Tabla20[#All],6,FALSE)</f>
        <v>0</v>
      </c>
      <c r="M11" s="16">
        <f>Tabla29[[#This Row],[P3 + P6]]*VLOOKUP(MONTH(Tabla29[[#This Row],[Fecha final]]),Tabla20[#All],7,FALSE)</f>
        <v>21.695999999999998</v>
      </c>
      <c r="N11" s="16">
        <f>YEAR(Tabla29[[#This Row],[Fecha final]])</f>
        <v>2020</v>
      </c>
    </row>
    <row r="12" spans="1:14">
      <c r="A12" s="17">
        <v>44140</v>
      </c>
      <c r="B12" s="17">
        <v>44165</v>
      </c>
      <c r="C12" s="16">
        <v>25</v>
      </c>
      <c r="D12" s="16" t="s">
        <v>42</v>
      </c>
      <c r="E12" s="16">
        <v>69</v>
      </c>
      <c r="F12" s="16">
        <v>1375</v>
      </c>
      <c r="G12" s="16">
        <v>144</v>
      </c>
      <c r="H12" s="16">
        <f>Tabla29[[#This Row],[P1 + P4]]*VLOOKUP(MONTH(Tabla29[[#This Row],[Fecha final]]),Tabla20[#All],2,FALSE)</f>
        <v>0</v>
      </c>
      <c r="I12" s="16">
        <f>Tabla29[[#This Row],[P2 + P5]]*VLOOKUP(MONTH(Tabla29[[#This Row],[Fecha final]]),Tabla20[#All],3,FALSE)</f>
        <v>1375</v>
      </c>
      <c r="J12" s="16">
        <f>(Tabla29[[#This Row],[P3 + P6]])*VLOOKUP(MONTH(Tabla29[[#This Row],[Fecha final]]),Tabla20[#All],4,FALSE)</f>
        <v>39.859200000000001</v>
      </c>
      <c r="K12" s="16">
        <f>Tabla29[[#This Row],[P1 + P4]]*VLOOKUP(MONTH(Tabla29[[#This Row],[Fecha final]]),Tabla20[#All],5,FALSE)</f>
        <v>0</v>
      </c>
      <c r="L12" s="16">
        <f>Tabla29[[#This Row],[P2 + P5]]*VLOOKUP(MONTH(Tabla29[[#This Row],[Fecha final]]),Tabla20[#All],6,FALSE)</f>
        <v>0</v>
      </c>
      <c r="M12" s="16">
        <f>Tabla29[[#This Row],[P3 + P6]]*VLOOKUP(MONTH(Tabla29[[#This Row],[Fecha final]]),Tabla20[#All],7,FALSE)</f>
        <v>104.1408</v>
      </c>
      <c r="N12" s="16">
        <f>YEAR(Tabla29[[#This Row],[Fecha final]])</f>
        <v>2020</v>
      </c>
    </row>
    <row r="13" spans="1:14">
      <c r="A13" s="17">
        <v>44165</v>
      </c>
      <c r="B13" s="17">
        <v>44202</v>
      </c>
      <c r="C13" s="16">
        <v>37</v>
      </c>
      <c r="D13" s="16" t="s">
        <v>42</v>
      </c>
      <c r="E13" s="16">
        <v>101</v>
      </c>
      <c r="F13" s="16">
        <v>2445</v>
      </c>
      <c r="G13" s="16">
        <v>219</v>
      </c>
      <c r="H13" s="16">
        <f>Tabla29[[#This Row],[P1 + P4]]*VLOOKUP(MONTH(Tabla29[[#This Row],[Fecha final]]),Tabla20[#All],2,FALSE)</f>
        <v>101</v>
      </c>
      <c r="I13" s="16">
        <f>Tabla29[[#This Row],[P2 + P5]]*VLOOKUP(MONTH(Tabla29[[#This Row],[Fecha final]]),Tabla20[#All],3,FALSE)</f>
        <v>2445</v>
      </c>
      <c r="J13" s="16">
        <f>(Tabla29[[#This Row],[P3 + P6]])*VLOOKUP(MONTH(Tabla29[[#This Row],[Fecha final]]),Tabla20[#All],4,FALSE)</f>
        <v>0</v>
      </c>
      <c r="K13" s="16">
        <f>Tabla29[[#This Row],[P1 + P4]]*VLOOKUP(MONTH(Tabla29[[#This Row],[Fecha final]]),Tabla20[#All],5,FALSE)</f>
        <v>0</v>
      </c>
      <c r="L13" s="16">
        <f>Tabla29[[#This Row],[P2 + P5]]*VLOOKUP(MONTH(Tabla29[[#This Row],[Fecha final]]),Tabla20[#All],6,FALSE)</f>
        <v>0</v>
      </c>
      <c r="M13" s="16">
        <f>Tabla29[[#This Row],[P3 + P6]]*VLOOKUP(MONTH(Tabla29[[#This Row],[Fecha final]]),Tabla20[#All],7,FALSE)</f>
        <v>219</v>
      </c>
      <c r="N13" s="16">
        <f>YEAR(Tabla29[[#This Row],[Fecha final]])</f>
        <v>2021</v>
      </c>
    </row>
    <row r="14" spans="1:14">
      <c r="A14" s="17">
        <v>44202</v>
      </c>
      <c r="B14" s="17">
        <v>44227</v>
      </c>
      <c r="C14" s="16">
        <v>25</v>
      </c>
      <c r="D14" s="16" t="s">
        <v>42</v>
      </c>
      <c r="E14" s="16">
        <v>86</v>
      </c>
      <c r="F14" s="16">
        <v>2090</v>
      </c>
      <c r="G14" s="16">
        <v>180</v>
      </c>
      <c r="H14" s="16">
        <f>Tabla29[[#This Row],[P1 + P4]]*VLOOKUP(MONTH(Tabla29[[#This Row],[Fecha final]]),Tabla20[#All],2,FALSE)</f>
        <v>86</v>
      </c>
      <c r="I14" s="16">
        <f>Tabla29[[#This Row],[P2 + P5]]*VLOOKUP(MONTH(Tabla29[[#This Row],[Fecha final]]),Tabla20[#All],3,FALSE)</f>
        <v>2090</v>
      </c>
      <c r="J14" s="16">
        <f>(Tabla29[[#This Row],[P3 + P6]])*VLOOKUP(MONTH(Tabla29[[#This Row],[Fecha final]]),Tabla20[#All],4,FALSE)</f>
        <v>0</v>
      </c>
      <c r="K14" s="16">
        <f>Tabla29[[#This Row],[P1 + P4]]*VLOOKUP(MONTH(Tabla29[[#This Row],[Fecha final]]),Tabla20[#All],5,FALSE)</f>
        <v>0</v>
      </c>
      <c r="L14" s="16">
        <f>Tabla29[[#This Row],[P2 + P5]]*VLOOKUP(MONTH(Tabla29[[#This Row],[Fecha final]]),Tabla20[#All],6,FALSE)</f>
        <v>0</v>
      </c>
      <c r="M14" s="16">
        <f>Tabla29[[#This Row],[P3 + P6]]*VLOOKUP(MONTH(Tabla29[[#This Row],[Fecha final]]),Tabla20[#All],7,FALSE)</f>
        <v>180</v>
      </c>
      <c r="N14" s="16">
        <f>YEAR(Tabla29[[#This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42</v>
      </c>
      <c r="E15" s="16">
        <v>82</v>
      </c>
      <c r="F15" s="16">
        <v>2007</v>
      </c>
      <c r="G15" s="16">
        <v>191</v>
      </c>
      <c r="H15" s="16">
        <f>Tabla29[[#This Row],[P1 + P4]]*VLOOKUP(MONTH(Tabla29[[#This Row],[Fecha final]]),Tabla20[#All],2,FALSE)</f>
        <v>82</v>
      </c>
      <c r="I15" s="16">
        <f>Tabla29[[#This Row],[P2 + P5]]*VLOOKUP(MONTH(Tabla29[[#This Row],[Fecha final]]),Tabla20[#All],3,FALSE)</f>
        <v>2007</v>
      </c>
      <c r="J15" s="16">
        <f>(Tabla29[[#This Row],[P3 + P6]])*VLOOKUP(MONTH(Tabla29[[#This Row],[Fecha final]]),Tabla20[#All],4,FALSE)</f>
        <v>0</v>
      </c>
      <c r="K15" s="16">
        <f>Tabla29[[#This Row],[P1 + P4]]*VLOOKUP(MONTH(Tabla29[[#This Row],[Fecha final]]),Tabla20[#All],5,FALSE)</f>
        <v>0</v>
      </c>
      <c r="L15" s="16">
        <f>Tabla29[[#This Row],[P2 + P5]]*VLOOKUP(MONTH(Tabla29[[#This Row],[Fecha final]]),Tabla20[#All],6,FALSE)</f>
        <v>0</v>
      </c>
      <c r="M15" s="16">
        <f>Tabla29[[#This Row],[P3 + P6]]*VLOOKUP(MONTH(Tabla29[[#This Row],[Fecha final]]),Tabla20[#All],7,FALSE)</f>
        <v>191</v>
      </c>
      <c r="N15" s="16">
        <f>YEAR(Tabla29[[#This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42</v>
      </c>
      <c r="E16" s="16">
        <v>140</v>
      </c>
      <c r="F16" s="16">
        <v>2015</v>
      </c>
      <c r="G16" s="16">
        <v>181</v>
      </c>
      <c r="H16" s="16">
        <f>Tabla29[[#This Row],[P1 + P4]]*VLOOKUP(MONTH(Tabla29[[#This Row],[Fecha final]]),Tabla20[#All],2,FALSE)</f>
        <v>0</v>
      </c>
      <c r="I16" s="16">
        <f>Tabla29[[#This Row],[P2 + P5]]*VLOOKUP(MONTH(Tabla29[[#This Row],[Fecha final]]),Tabla20[#All],3,FALSE)</f>
        <v>2015</v>
      </c>
      <c r="J16" s="16">
        <f>(Tabla29[[#This Row],[P3 + P6]])*VLOOKUP(MONTH(Tabla29[[#This Row],[Fecha final]]),Tabla20[#All],4,FALSE)</f>
        <v>54.263800000000003</v>
      </c>
      <c r="K16" s="16">
        <f>Tabla29[[#This Row],[P1 + P4]]*VLOOKUP(MONTH(Tabla29[[#This Row],[Fecha final]]),Tabla20[#All],5,FALSE)</f>
        <v>0</v>
      </c>
      <c r="L16" s="16">
        <f>Tabla29[[#This Row],[P2 + P5]]*VLOOKUP(MONTH(Tabla29[[#This Row],[Fecha final]]),Tabla20[#All],6,FALSE)</f>
        <v>0</v>
      </c>
      <c r="M16" s="16">
        <f>Tabla29[[#This Row],[P3 + P6]]*VLOOKUP(MONTH(Tabla29[[#This Row],[Fecha final]]),Tabla20[#All],7,FALSE)</f>
        <v>126.73620000000001</v>
      </c>
      <c r="N16" s="16">
        <f>YEAR(Tabla29[[#This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42</v>
      </c>
      <c r="E17" s="16">
        <v>478</v>
      </c>
      <c r="F17" s="16">
        <v>864</v>
      </c>
      <c r="G17" s="16">
        <v>201</v>
      </c>
      <c r="H17" s="16">
        <f>Tabla29[[#This Row],[P1 + P4]]*VLOOKUP(MONTH(Tabla29[[#This Row],[Fecha final]]),Tabla20[#All],2,FALSE)</f>
        <v>0</v>
      </c>
      <c r="I17" s="16">
        <f>Tabla29[[#This Row],[P2 + P5]]*VLOOKUP(MONTH(Tabla29[[#This Row],[Fecha final]]),Tabla20[#All],3,FALSE)</f>
        <v>0</v>
      </c>
      <c r="J17" s="16">
        <f>(Tabla29[[#This Row],[P3 + P6]])*VLOOKUP(MONTH(Tabla29[[#This Row],[Fecha final]]),Tabla20[#All],4,FALSE)</f>
        <v>0</v>
      </c>
      <c r="K17" s="16">
        <f>Tabla29[[#This Row],[P1 + P4]]*VLOOKUP(MONTH(Tabla29[[#This Row],[Fecha final]]),Tabla20[#All],5,FALSE)</f>
        <v>478</v>
      </c>
      <c r="L17" s="16">
        <f>Tabla29[[#This Row],[P2 + P5]]*VLOOKUP(MONTH(Tabla29[[#This Row],[Fecha final]]),Tabla20[#All],6,FALSE)</f>
        <v>864</v>
      </c>
      <c r="M17" s="16">
        <f>Tabla29[[#This Row],[P3 + P6]]*VLOOKUP(MONTH(Tabla29[[#This Row],[Fecha final]]),Tabla20[#All],7,FALSE)</f>
        <v>201</v>
      </c>
      <c r="N17" s="16">
        <f>YEAR(Tabla29[[#This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42</v>
      </c>
      <c r="E18" s="16">
        <v>398</v>
      </c>
      <c r="F18" s="16">
        <v>724</v>
      </c>
      <c r="G18" s="16">
        <v>204</v>
      </c>
      <c r="H18" s="16">
        <f>Tabla29[[#This Row],[P1 + P4]]*VLOOKUP(MONTH(Tabla29[[#This Row],[Fecha final]]),Tabla20[#All],2,FALSE)</f>
        <v>0</v>
      </c>
      <c r="I18" s="16">
        <f>Tabla29[[#This Row],[P2 + P5]]*VLOOKUP(MONTH(Tabla29[[#This Row],[Fecha final]]),Tabla20[#All],3,FALSE)</f>
        <v>0</v>
      </c>
      <c r="J18" s="16">
        <f>(Tabla29[[#This Row],[P3 + P6]])*VLOOKUP(MONTH(Tabla29[[#This Row],[Fecha final]]),Tabla20[#All],4,FALSE)</f>
        <v>0</v>
      </c>
      <c r="K18" s="16">
        <f>Tabla29[[#This Row],[P1 + P4]]*VLOOKUP(MONTH(Tabla29[[#This Row],[Fecha final]]),Tabla20[#All],5,FALSE)</f>
        <v>398</v>
      </c>
      <c r="L18" s="16">
        <f>Tabla29[[#This Row],[P2 + P5]]*VLOOKUP(MONTH(Tabla29[[#This Row],[Fecha final]]),Tabla20[#All],6,FALSE)</f>
        <v>724</v>
      </c>
      <c r="M18" s="16">
        <f>Tabla29[[#This Row],[P3 + P6]]*VLOOKUP(MONTH(Tabla29[[#This Row],[Fecha final]]),Tabla20[#All],7,FALSE)</f>
        <v>204</v>
      </c>
      <c r="N18" s="16">
        <f>YEAR(Tabla29[[#This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42</v>
      </c>
      <c r="E19" s="16">
        <v>328</v>
      </c>
      <c r="F19" s="16">
        <v>0</v>
      </c>
      <c r="G19" s="16">
        <v>1397</v>
      </c>
      <c r="H19" s="16">
        <f>Tabla29[[#This Row],[P1 + P4]]*VLOOKUP(MONTH(Tabla29[[#This Row],[Fecha final]]),Tabla20[#All],2,FALSE)</f>
        <v>0</v>
      </c>
      <c r="I19" s="16">
        <f>Tabla29[[#This Row],[P2 + P5]]*VLOOKUP(MONTH(Tabla29[[#This Row],[Fecha final]]),Tabla20[#All],3,FALSE)</f>
        <v>0</v>
      </c>
      <c r="J19" s="16">
        <f>(Tabla29[[#This Row],[P3 + P6]])*VLOOKUP(MONTH(Tabla29[[#This Row],[Fecha final]]),Tabla20[#All],4,FALSE)</f>
        <v>488.67059999999998</v>
      </c>
      <c r="K19" s="16">
        <f>Tabla29[[#This Row],[P1 + P4]]*VLOOKUP(MONTH(Tabla29[[#This Row],[Fecha final]]),Tabla20[#All],5,FALSE)</f>
        <v>328</v>
      </c>
      <c r="L19" s="16">
        <f>Tabla29[[#This Row],[P2 + P5]]*VLOOKUP(MONTH(Tabla29[[#This Row],[Fecha final]]),Tabla20[#All],6,FALSE)</f>
        <v>0</v>
      </c>
      <c r="M19" s="16">
        <f>Tabla29[[#This Row],[P3 + P6]]*VLOOKUP(MONTH(Tabla29[[#This Row],[Fecha final]]),Tabla20[#All],7,FALSE)</f>
        <v>908.32939999999996</v>
      </c>
      <c r="N19" s="16">
        <f>YEAR(Tabla29[[#This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42</v>
      </c>
      <c r="E20" s="16">
        <v>1478</v>
      </c>
      <c r="F20" s="16">
        <v>402</v>
      </c>
      <c r="G20" s="16">
        <v>220</v>
      </c>
      <c r="H20" s="16">
        <f>Tabla29[[#This Row],[P1 + P4]]*VLOOKUP(MONTH(Tabla29[[#This Row],[Fecha final]]),Tabla20[#All],2,FALSE)</f>
        <v>1478</v>
      </c>
      <c r="I20" s="16">
        <f>Tabla29[[#This Row],[P2 + P5]]*VLOOKUP(MONTH(Tabla29[[#This Row],[Fecha final]]),Tabla20[#All],3,FALSE)</f>
        <v>402</v>
      </c>
      <c r="J20" s="16">
        <f>(Tabla29[[#This Row],[P3 + P6]])*VLOOKUP(MONTH(Tabla29[[#This Row],[Fecha final]]),Tabla20[#All],4,FALSE)</f>
        <v>0</v>
      </c>
      <c r="K20" s="16">
        <f>Tabla29[[#This Row],[P1 + P4]]*VLOOKUP(MONTH(Tabla29[[#This Row],[Fecha final]]),Tabla20[#All],5,FALSE)</f>
        <v>0</v>
      </c>
      <c r="L20" s="16">
        <f>Tabla29[[#This Row],[P2 + P5]]*VLOOKUP(MONTH(Tabla29[[#This Row],[Fecha final]]),Tabla20[#All],6,FALSE)</f>
        <v>0</v>
      </c>
      <c r="M20" s="16">
        <f>Tabla29[[#This Row],[P3 + P6]]*VLOOKUP(MONTH(Tabla29[[#This Row],[Fecha final]]),Tabla20[#All],7,FALSE)</f>
        <v>220</v>
      </c>
      <c r="N20" s="16">
        <f>YEAR(Tabla29[[#This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42</v>
      </c>
      <c r="E21" s="16">
        <v>368</v>
      </c>
      <c r="F21" s="16">
        <v>0</v>
      </c>
      <c r="G21" s="16">
        <v>1684</v>
      </c>
      <c r="H21" s="16">
        <f>Tabla29[[#This Row],[P1 + P4]]*VLOOKUP(MONTH(Tabla29[[#This Row],[Fecha final]]),Tabla20[#All],2,FALSE)</f>
        <v>0</v>
      </c>
      <c r="I21" s="16">
        <f>Tabla29[[#This Row],[P2 + P5]]*VLOOKUP(MONTH(Tabla29[[#This Row],[Fecha final]]),Tabla20[#All],3,FALSE)</f>
        <v>0</v>
      </c>
      <c r="J21" s="16">
        <f>(Tabla29[[#This Row],[P3 + P6]])*VLOOKUP(MONTH(Tabla29[[#This Row],[Fecha final]]),Tabla20[#All],4,FALSE)</f>
        <v>565.15039999999999</v>
      </c>
      <c r="K21" s="16">
        <f>Tabla29[[#This Row],[P1 + P4]]*VLOOKUP(MONTH(Tabla29[[#This Row],[Fecha final]]),Tabla20[#All],5,FALSE)</f>
        <v>368</v>
      </c>
      <c r="L21" s="16">
        <f>Tabla29[[#This Row],[P2 + P5]]*VLOOKUP(MONTH(Tabla29[[#This Row],[Fecha final]]),Tabla20[#All],6,FALSE)</f>
        <v>0</v>
      </c>
      <c r="M21" s="16">
        <f>Tabla29[[#This Row],[P3 + P6]]*VLOOKUP(MONTH(Tabla29[[#This Row],[Fecha final]]),Tabla20[#All],7,FALSE)</f>
        <v>1118.8496</v>
      </c>
      <c r="N21" s="16">
        <f>YEAR(Tabla29[[#This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42</v>
      </c>
      <c r="E22" s="16">
        <v>343</v>
      </c>
      <c r="F22" s="16">
        <v>0</v>
      </c>
      <c r="G22" s="16">
        <v>1178</v>
      </c>
      <c r="H22" s="16">
        <f>Tabla29[[#This Row],[P1 + P4]]*VLOOKUP(MONTH(Tabla29[[#This Row],[Fecha final]]),Tabla20[#All],2,FALSE)</f>
        <v>0</v>
      </c>
      <c r="I22" s="16">
        <f>Tabla29[[#This Row],[P2 + P5]]*VLOOKUP(MONTH(Tabla29[[#This Row],[Fecha final]]),Tabla20[#All],3,FALSE)</f>
        <v>0</v>
      </c>
      <c r="J22" s="16">
        <f>(Tabla29[[#This Row],[P3 + P6]])*VLOOKUP(MONTH(Tabla29[[#This Row],[Fecha final]]),Tabla20[#All],4,FALSE)</f>
        <v>412.06439999999998</v>
      </c>
      <c r="K22" s="16">
        <f>Tabla29[[#This Row],[P1 + P4]]*VLOOKUP(MONTH(Tabla29[[#This Row],[Fecha final]]),Tabla20[#All],5,FALSE)</f>
        <v>343</v>
      </c>
      <c r="L22" s="16">
        <f>Tabla29[[#This Row],[P2 + P5]]*VLOOKUP(MONTH(Tabla29[[#This Row],[Fecha final]]),Tabla20[#All],6,FALSE)</f>
        <v>0</v>
      </c>
      <c r="M22" s="16">
        <f>Tabla29[[#This Row],[P3 + P6]]*VLOOKUP(MONTH(Tabla29[[#This Row],[Fecha final]]),Tabla20[#All],7,FALSE)</f>
        <v>765.93560000000002</v>
      </c>
      <c r="N22" s="16">
        <f>YEAR(Tabla29[[#This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42</v>
      </c>
      <c r="E23" s="16">
        <v>555</v>
      </c>
      <c r="F23" s="16">
        <v>237</v>
      </c>
      <c r="G23" s="16">
        <v>215</v>
      </c>
      <c r="H23" s="16">
        <f>Tabla29[[#This Row],[P1 + P4]]*VLOOKUP(MONTH(Tabla29[[#This Row],[Fecha final]]),Tabla20[#All],2,FALSE)</f>
        <v>0</v>
      </c>
      <c r="I23" s="16">
        <f>Tabla29[[#This Row],[P2 + P5]]*VLOOKUP(MONTH(Tabla29[[#This Row],[Fecha final]]),Tabla20[#All],3,FALSE)</f>
        <v>0</v>
      </c>
      <c r="J23" s="16">
        <f>(Tabla29[[#This Row],[P3 + P6]])*VLOOKUP(MONTH(Tabla29[[#This Row],[Fecha final]]),Tabla20[#All],4,FALSE)</f>
        <v>0</v>
      </c>
      <c r="K23" s="16">
        <f>Tabla29[[#This Row],[P1 + P4]]*VLOOKUP(MONTH(Tabla29[[#This Row],[Fecha final]]),Tabla20[#All],5,FALSE)</f>
        <v>555</v>
      </c>
      <c r="L23" s="16">
        <f>Tabla29[[#This Row],[P2 + P5]]*VLOOKUP(MONTH(Tabla29[[#This Row],[Fecha final]]),Tabla20[#All],6,FALSE)</f>
        <v>237</v>
      </c>
      <c r="M23" s="16">
        <f>Tabla29[[#This Row],[P3 + P6]]*VLOOKUP(MONTH(Tabla29[[#This Row],[Fecha final]]),Tabla20[#All],7,FALSE)</f>
        <v>215</v>
      </c>
      <c r="N23" s="16">
        <f>YEAR(Tabla29[[#This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1104</v>
      </c>
      <c r="G24" s="16">
        <v>733</v>
      </c>
      <c r="H24" s="16">
        <f>Tabla29[[#This Row],[P1 + P4]]*VLOOKUP(MONTH(Tabla29[[#This Row],[Fecha final]]),Tabla20[#All],2,FALSE)</f>
        <v>0</v>
      </c>
      <c r="I24" s="16">
        <f>Tabla29[[#This Row],[P2 + P5]]*VLOOKUP(MONTH(Tabla29[[#This Row],[Fecha final]]),Tabla20[#All],3,FALSE)</f>
        <v>1104</v>
      </c>
      <c r="J24" s="16">
        <f>(Tabla29[[#This Row],[P3 + P6]])*VLOOKUP(MONTH(Tabla29[[#This Row],[Fecha final]]),Tabla20[#All],4,FALSE)</f>
        <v>202.89439999999999</v>
      </c>
      <c r="K24" s="16">
        <f>Tabla29[[#This Row],[P1 + P4]]*VLOOKUP(MONTH(Tabla29[[#This Row],[Fecha final]]),Tabla20[#All],5,FALSE)</f>
        <v>0</v>
      </c>
      <c r="L24" s="16">
        <f>Tabla29[[#This Row],[P2 + P5]]*VLOOKUP(MONTH(Tabla29[[#This Row],[Fecha final]]),Tabla20[#All],6,FALSE)</f>
        <v>0</v>
      </c>
      <c r="M24" s="16">
        <f>Tabla29[[#This Row],[P3 + P6]]*VLOOKUP(MONTH(Tabla29[[#This Row],[Fecha final]]),Tabla20[#All],7,FALSE)</f>
        <v>530.10559999999998</v>
      </c>
      <c r="N24" s="16">
        <f>YEAR(Tabla29[[#This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42</v>
      </c>
      <c r="E25" s="16">
        <v>123</v>
      </c>
      <c r="F25" s="16">
        <v>64</v>
      </c>
      <c r="G25" s="16">
        <v>13</v>
      </c>
      <c r="H25" s="16">
        <f>Tabla29[[#This Row],[P1 + P4]]*VLOOKUP(MONTH(Tabla29[[#This Row],[Fecha final]]),Tabla20[#All],2,FALSE)</f>
        <v>123</v>
      </c>
      <c r="I25" s="16">
        <f>Tabla29[[#This Row],[P2 + P5]]*VLOOKUP(MONTH(Tabla29[[#This Row],[Fecha final]]),Tabla20[#All],3,FALSE)</f>
        <v>64</v>
      </c>
      <c r="J25" s="16">
        <f>(Tabla29[[#This Row],[P3 + P6]])*VLOOKUP(MONTH(Tabla29[[#This Row],[Fecha final]]),Tabla20[#All],4,FALSE)</f>
        <v>0</v>
      </c>
      <c r="K25" s="16">
        <f>Tabla29[[#This Row],[P1 + P4]]*VLOOKUP(MONTH(Tabla29[[#This Row],[Fecha final]]),Tabla20[#All],5,FALSE)</f>
        <v>0</v>
      </c>
      <c r="L25" s="16">
        <f>Tabla29[[#This Row],[P2 + P5]]*VLOOKUP(MONTH(Tabla29[[#This Row],[Fecha final]]),Tabla20[#All],6,FALSE)</f>
        <v>0</v>
      </c>
      <c r="M25" s="16">
        <f>Tabla29[[#This Row],[P3 + P6]]*VLOOKUP(MONTH(Tabla29[[#This Row],[Fecha final]]),Tabla20[#All],7,FALSE)</f>
        <v>13</v>
      </c>
      <c r="N25" s="16">
        <f>YEAR(Tabla29[[#This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42</v>
      </c>
      <c r="E26" s="16">
        <v>1354</v>
      </c>
      <c r="F26" s="16">
        <v>549</v>
      </c>
      <c r="G26" s="16">
        <v>239</v>
      </c>
      <c r="H26" s="16">
        <f>Tabla29[[#This Row],[P1 + P4]]*VLOOKUP(MONTH(Tabla29[[#This Row],[Fecha final]]),Tabla20[#All],2,FALSE)</f>
        <v>1354</v>
      </c>
      <c r="I26" s="16">
        <f>Tabla29[[#This Row],[P2 + P5]]*VLOOKUP(MONTH(Tabla29[[#This Row],[Fecha final]]),Tabla20[#All],3,FALSE)</f>
        <v>549</v>
      </c>
      <c r="J26" s="16">
        <f>(Tabla29[[#This Row],[P3 + P6]])*VLOOKUP(MONTH(Tabla29[[#This Row],[Fecha final]]),Tabla20[#All],4,FALSE)</f>
        <v>0</v>
      </c>
      <c r="K26" s="16">
        <f>Tabla29[[#This Row],[P1 + P4]]*VLOOKUP(MONTH(Tabla29[[#This Row],[Fecha final]]),Tabla20[#All],5,FALSE)</f>
        <v>0</v>
      </c>
      <c r="L26" s="16">
        <f>Tabla29[[#This Row],[P2 + P5]]*VLOOKUP(MONTH(Tabla29[[#This Row],[Fecha final]]),Tabla20[#All],6,FALSE)</f>
        <v>0</v>
      </c>
      <c r="M26" s="16">
        <f>Tabla29[[#This Row],[P3 + P6]]*VLOOKUP(MONTH(Tabla29[[#This Row],[Fecha final]]),Tabla20[#All],7,FALSE)</f>
        <v>239</v>
      </c>
      <c r="N26" s="16">
        <f>YEAR(Tabla29[[#This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1505</v>
      </c>
      <c r="F27" s="16">
        <v>581</v>
      </c>
      <c r="G27" s="16">
        <v>286</v>
      </c>
      <c r="H27" s="16">
        <f>Tabla29[[#This Row],[P1 + P4]]*VLOOKUP(MONTH(Tabla29[[#This Row],[Fecha final]]),Tabla20[#All],2,FALSE)</f>
        <v>1505</v>
      </c>
      <c r="I27" s="16">
        <f>Tabla29[[#This Row],[P2 + P5]]*VLOOKUP(MONTH(Tabla29[[#This Row],[Fecha final]]),Tabla20[#All],3,FALSE)</f>
        <v>581</v>
      </c>
      <c r="J27" s="16">
        <f>(Tabla29[[#This Row],[P3 + P6]])*VLOOKUP(MONTH(Tabla29[[#This Row],[Fecha final]]),Tabla20[#All],4,FALSE)</f>
        <v>0</v>
      </c>
      <c r="K27" s="16">
        <f>Tabla29[[#This Row],[P1 + P4]]*VLOOKUP(MONTH(Tabla29[[#This Row],[Fecha final]]),Tabla20[#All],5,FALSE)</f>
        <v>0</v>
      </c>
      <c r="L27" s="16">
        <f>Tabla29[[#This Row],[P2 + P5]]*VLOOKUP(MONTH(Tabla29[[#This Row],[Fecha final]]),Tabla20[#All],6,FALSE)</f>
        <v>0</v>
      </c>
      <c r="M27" s="16">
        <f>Tabla29[[#This Row],[P3 + P6]]*VLOOKUP(MONTH(Tabla29[[#This Row],[Fecha final]]),Tabla20[#All],7,FALSE)</f>
        <v>286</v>
      </c>
      <c r="N27" s="16">
        <f>YEAR(Tabla29[[#This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1424</v>
      </c>
      <c r="F28" s="16">
        <v>569</v>
      </c>
      <c r="G28" s="16">
        <v>302</v>
      </c>
      <c r="H28" s="16">
        <f>Tabla29[[#This Row],[P1 + P4]]*VLOOKUP(MONTH(Tabla29[[#This Row],[Fecha final]]),Tabla20[#All],2,FALSE)</f>
        <v>1424</v>
      </c>
      <c r="I28" s="16">
        <f>Tabla29[[#This Row],[P2 + P5]]*VLOOKUP(MONTH(Tabla29[[#This Row],[Fecha final]]),Tabla20[#All],3,FALSE)</f>
        <v>569</v>
      </c>
      <c r="J28" s="16">
        <f>(Tabla29[[#This Row],[P3 + P6]])*VLOOKUP(MONTH(Tabla29[[#This Row],[Fecha final]]),Tabla20[#All],4,FALSE)</f>
        <v>0</v>
      </c>
      <c r="K28" s="16">
        <f>Tabla29[[#This Row],[P1 + P4]]*VLOOKUP(MONTH(Tabla29[[#This Row],[Fecha final]]),Tabla20[#All],5,FALSE)</f>
        <v>0</v>
      </c>
      <c r="L28" s="16">
        <f>Tabla29[[#This Row],[P2 + P5]]*VLOOKUP(MONTH(Tabla29[[#This Row],[Fecha final]]),Tabla20[#All],6,FALSE)</f>
        <v>0</v>
      </c>
      <c r="M28" s="16">
        <f>Tabla29[[#This Row],[P3 + P6]]*VLOOKUP(MONTH(Tabla29[[#This Row],[Fecha final]]),Tabla20[#All],7,FALSE)</f>
        <v>302</v>
      </c>
      <c r="N28" s="16">
        <f>YEAR(Tabla29[[#This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1242</v>
      </c>
      <c r="G29" s="16">
        <v>876</v>
      </c>
      <c r="H29" s="16">
        <f>Tabla29[[#This Row],[P1 + P4]]*VLOOKUP(MONTH(Tabla29[[#This Row],[Fecha final]]),Tabla20[#All],2,FALSE)</f>
        <v>0</v>
      </c>
      <c r="I29" s="16">
        <f>Tabla29[[#This Row],[P2 + P5]]*VLOOKUP(MONTH(Tabla29[[#This Row],[Fecha final]]),Tabla20[#All],3,FALSE)</f>
        <v>1242</v>
      </c>
      <c r="J29" s="16">
        <f>(Tabla29[[#This Row],[P3 + P6]])*VLOOKUP(MONTH(Tabla29[[#This Row],[Fecha final]]),Tabla20[#All],4,FALSE)</f>
        <v>262.62479999999999</v>
      </c>
      <c r="K29" s="16">
        <f>Tabla29[[#This Row],[P1 + P4]]*VLOOKUP(MONTH(Tabla29[[#This Row],[Fecha final]]),Tabla20[#All],5,FALSE)</f>
        <v>0</v>
      </c>
      <c r="L29" s="16">
        <f>Tabla29[[#This Row],[P2 + P5]]*VLOOKUP(MONTH(Tabla29[[#This Row],[Fecha final]]),Tabla20[#All],6,FALSE)</f>
        <v>0</v>
      </c>
      <c r="M29" s="16">
        <f>Tabla29[[#This Row],[P3 + P6]]*VLOOKUP(MONTH(Tabla29[[#This Row],[Fecha final]]),Tabla20[#All],7,FALSE)</f>
        <v>613.37520000000006</v>
      </c>
      <c r="N29" s="16">
        <f>YEAR(Tabla29[[#This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541</v>
      </c>
      <c r="F30" s="16">
        <v>370</v>
      </c>
      <c r="G30" s="16">
        <v>632</v>
      </c>
      <c r="H30" s="16">
        <f>Tabla29[[#This Row],[P1 + P4]]*VLOOKUP(MONTH(Tabla29[[#This Row],[Fecha final]]),Tabla20[#All],2,FALSE)</f>
        <v>0</v>
      </c>
      <c r="I30" s="16">
        <f>Tabla29[[#This Row],[P2 + P5]]*VLOOKUP(MONTH(Tabla29[[#This Row],[Fecha final]]),Tabla20[#All],3,FALSE)</f>
        <v>0</v>
      </c>
      <c r="J30" s="16">
        <f>(Tabla29[[#This Row],[P3 + P6]])*VLOOKUP(MONTH(Tabla29[[#This Row],[Fecha final]]),Tabla20[#All],4,FALSE)</f>
        <v>0</v>
      </c>
      <c r="K30" s="16">
        <f>Tabla29[[#This Row],[P1 + P4]]*VLOOKUP(MONTH(Tabla29[[#This Row],[Fecha final]]),Tabla20[#All],5,FALSE)</f>
        <v>541</v>
      </c>
      <c r="L30" s="16">
        <f>Tabla29[[#This Row],[P2 + P5]]*VLOOKUP(MONTH(Tabla29[[#This Row],[Fecha final]]),Tabla20[#All],6,FALSE)</f>
        <v>370</v>
      </c>
      <c r="M30" s="16">
        <f>Tabla29[[#This Row],[P3 + P6]]*VLOOKUP(MONTH(Tabla29[[#This Row],[Fecha final]]),Tabla20[#All],7,FALSE)</f>
        <v>632</v>
      </c>
      <c r="N30" s="16">
        <f>YEAR(Tabla29[[#This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1019</v>
      </c>
      <c r="F31" s="16">
        <v>285</v>
      </c>
      <c r="G31" s="16">
        <v>-12</v>
      </c>
      <c r="H31" s="16">
        <f>Tabla29[[#This Row],[P1 + P4]]*VLOOKUP(MONTH(Tabla29[[#This Row],[Fecha final]]),Tabla20[#All],2,FALSE)</f>
        <v>0</v>
      </c>
      <c r="I31" s="16">
        <f>Tabla29[[#This Row],[P2 + P5]]*VLOOKUP(MONTH(Tabla29[[#This Row],[Fecha final]]),Tabla20[#All],3,FALSE)</f>
        <v>0</v>
      </c>
      <c r="J31" s="16">
        <f>(Tabla29[[#This Row],[P3 + P6]])*VLOOKUP(MONTH(Tabla29[[#This Row],[Fecha final]]),Tabla20[#All],4,FALSE)</f>
        <v>0</v>
      </c>
      <c r="K31" s="16">
        <f>Tabla29[[#This Row],[P1 + P4]]*VLOOKUP(MONTH(Tabla29[[#This Row],[Fecha final]]),Tabla20[#All],5,FALSE)</f>
        <v>1019</v>
      </c>
      <c r="L31" s="16">
        <f>Tabla29[[#This Row],[P2 + P5]]*VLOOKUP(MONTH(Tabla29[[#This Row],[Fecha final]]),Tabla20[#All],6,FALSE)</f>
        <v>285</v>
      </c>
      <c r="M31" s="16">
        <f>Tabla29[[#This Row],[P3 + P6]]*VLOOKUP(MONTH(Tabla29[[#This Row],[Fecha final]]),Tabla20[#All],7,FALSE)</f>
        <v>-12</v>
      </c>
      <c r="N31" s="16">
        <f>YEAR(Tabla29[[#This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446</v>
      </c>
      <c r="F32" s="16">
        <v>0</v>
      </c>
      <c r="G32" s="16">
        <v>1477</v>
      </c>
      <c r="H32" s="16">
        <f>Tabla29[[#This Row],[P1 + P4]]*VLOOKUP(MONTH(Tabla29[[#This Row],[Fecha final]]),Tabla20[#All],2,FALSE)</f>
        <v>0</v>
      </c>
      <c r="I32" s="16">
        <f>Tabla29[[#This Row],[P2 + P5]]*VLOOKUP(MONTH(Tabla29[[#This Row],[Fecha final]]),Tabla20[#All],3,FALSE)</f>
        <v>0</v>
      </c>
      <c r="J32" s="16">
        <f>(Tabla29[[#This Row],[P3 + P6]])*VLOOKUP(MONTH(Tabla29[[#This Row],[Fecha final]]),Tabla20[#All],4,FALSE)</f>
        <v>516.65459999999996</v>
      </c>
      <c r="K32" s="16">
        <f>Tabla29[[#This Row],[P1 + P4]]*VLOOKUP(MONTH(Tabla29[[#This Row],[Fecha final]]),Tabla20[#All],5,FALSE)</f>
        <v>446</v>
      </c>
      <c r="L32" s="16">
        <f>Tabla29[[#This Row],[P2 + P5]]*VLOOKUP(MONTH(Tabla29[[#This Row],[Fecha final]]),Tabla20[#All],6,FALSE)</f>
        <v>0</v>
      </c>
      <c r="M32" s="16">
        <f>Tabla29[[#This Row],[P3 + P6]]*VLOOKUP(MONTH(Tabla29[[#This Row],[Fecha final]]),Tabla20[#All],7,FALSE)</f>
        <v>960.34540000000004</v>
      </c>
      <c r="N32" s="16">
        <f>YEAR(Tabla29[[#This Row],[Fecha final]])</f>
        <v>2022</v>
      </c>
    </row>
    <row r="33" spans="1:14">
      <c r="A33" s="17">
        <v>44742</v>
      </c>
      <c r="B33" s="17">
        <v>44770</v>
      </c>
      <c r="C33" s="16">
        <v>28</v>
      </c>
      <c r="D33" s="16" t="s">
        <v>42</v>
      </c>
      <c r="E33" s="16">
        <v>1311</v>
      </c>
      <c r="F33" s="16">
        <v>415</v>
      </c>
      <c r="G33" s="16">
        <v>192</v>
      </c>
      <c r="H33" s="16">
        <f>Tabla29[[#This Row],[P1 + P4]]*VLOOKUP(MONTH(Tabla29[[#This Row],[Fecha final]]),Tabla20[#All],2,FALSE)</f>
        <v>1311</v>
      </c>
      <c r="I33" s="16">
        <f>Tabla29[[#This Row],[P2 + P5]]*VLOOKUP(MONTH(Tabla29[[#This Row],[Fecha final]]),Tabla20[#All],3,FALSE)</f>
        <v>415</v>
      </c>
      <c r="J33" s="16">
        <f>(Tabla29[[#This Row],[P3 + P6]])*VLOOKUP(MONTH(Tabla29[[#This Row],[Fecha final]]),Tabla20[#All],4,FALSE)</f>
        <v>0</v>
      </c>
      <c r="K33" s="16">
        <f>Tabla29[[#This Row],[P1 + P4]]*VLOOKUP(MONTH(Tabla29[[#This Row],[Fecha final]]),Tabla20[#All],5,FALSE)</f>
        <v>0</v>
      </c>
      <c r="L33" s="16">
        <f>Tabla29[[#This Row],[P2 + P5]]*VLOOKUP(MONTH(Tabla29[[#This Row],[Fecha final]]),Tabla20[#All],6,FALSE)</f>
        <v>0</v>
      </c>
      <c r="M33" s="16">
        <f>Tabla29[[#This Row],[P3 + P6]]*VLOOKUP(MONTH(Tabla29[[#This Row],[Fecha final]]),Tabla20[#All],7,FALSE)</f>
        <v>192</v>
      </c>
      <c r="N33" s="16">
        <f>YEAR(Tabla29[[#This Row],[Fecha final]])</f>
        <v>2022</v>
      </c>
    </row>
    <row r="34" spans="1:14">
      <c r="A34" s="17">
        <v>44770</v>
      </c>
      <c r="B34" s="17">
        <v>44804</v>
      </c>
      <c r="C34" s="16">
        <v>34</v>
      </c>
      <c r="D34" s="16" t="s">
        <v>42</v>
      </c>
      <c r="E34" s="16">
        <v>490</v>
      </c>
      <c r="F34" s="16">
        <v>25</v>
      </c>
      <c r="G34" s="16">
        <v>1684</v>
      </c>
      <c r="H34" s="16">
        <f>Tabla29[[#This Row],[P1 + P4]]*VLOOKUP(MONTH(Tabla29[[#This Row],[Fecha final]]),Tabla20[#All],2,FALSE)</f>
        <v>0</v>
      </c>
      <c r="I34" s="16">
        <f>Tabla29[[#This Row],[P2 + P5]]*VLOOKUP(MONTH(Tabla29[[#This Row],[Fecha final]]),Tabla20[#All],3,FALSE)</f>
        <v>0</v>
      </c>
      <c r="J34" s="16">
        <f>(Tabla29[[#This Row],[P3 + P6]])*VLOOKUP(MONTH(Tabla29[[#This Row],[Fecha final]]),Tabla20[#All],4,FALSE)</f>
        <v>565.15039999999999</v>
      </c>
      <c r="K34" s="16">
        <f>Tabla29[[#This Row],[P1 + P4]]*VLOOKUP(MONTH(Tabla29[[#This Row],[Fecha final]]),Tabla20[#All],5,FALSE)</f>
        <v>490</v>
      </c>
      <c r="L34" s="16">
        <f>Tabla29[[#This Row],[P2 + P5]]*VLOOKUP(MONTH(Tabla29[[#This Row],[Fecha final]]),Tabla20[#All],6,FALSE)</f>
        <v>0</v>
      </c>
      <c r="M34" s="16">
        <f>Tabla29[[#This Row],[P3 + P6]]*VLOOKUP(MONTH(Tabla29[[#This Row],[Fecha final]]),Tabla20[#All],7,FALSE)</f>
        <v>1118.8496</v>
      </c>
      <c r="N34" s="16">
        <f>YEAR(Tabla29[[#This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316</v>
      </c>
      <c r="F35" s="16">
        <v>0</v>
      </c>
      <c r="G35" s="16">
        <v>1182</v>
      </c>
      <c r="H35" s="16">
        <f>Tabla29[[#This Row],[P1 + P4]]*VLOOKUP(MONTH(Tabla29[[#This Row],[Fecha final]]),Tabla20[#All],2,FALSE)</f>
        <v>0</v>
      </c>
      <c r="I35" s="16">
        <f>Tabla29[[#This Row],[P2 + P5]]*VLOOKUP(MONTH(Tabla29[[#This Row],[Fecha final]]),Tabla20[#All],3,FALSE)</f>
        <v>0</v>
      </c>
      <c r="J35" s="16">
        <f>(Tabla29[[#This Row],[P3 + P6]])*VLOOKUP(MONTH(Tabla29[[#This Row],[Fecha final]]),Tabla20[#All],4,FALSE)</f>
        <v>413.46359999999999</v>
      </c>
      <c r="K35" s="16">
        <f>Tabla29[[#This Row],[P1 + P4]]*VLOOKUP(MONTH(Tabla29[[#This Row],[Fecha final]]),Tabla20[#All],5,FALSE)</f>
        <v>316</v>
      </c>
      <c r="L35" s="16">
        <f>Tabla29[[#This Row],[P2 + P5]]*VLOOKUP(MONTH(Tabla29[[#This Row],[Fecha final]]),Tabla20[#All],6,FALSE)</f>
        <v>0</v>
      </c>
      <c r="M35" s="16">
        <f>Tabla29[[#This Row],[P3 + P6]]*VLOOKUP(MONTH(Tabla29[[#This Row],[Fecha final]]),Tabla20[#All],7,FALSE)</f>
        <v>768.53639999999996</v>
      </c>
      <c r="N35" s="16">
        <f>YEAR(Tabla29[[#This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510</v>
      </c>
      <c r="F36" s="16">
        <v>176</v>
      </c>
      <c r="G36" s="16">
        <v>203</v>
      </c>
      <c r="H36" s="16">
        <f>Tabla29[[#This Row],[P1 + P4]]*VLOOKUP(MONTH(Tabla29[[#This Row],[Fecha final]]),Tabla20[#All],2,FALSE)</f>
        <v>0</v>
      </c>
      <c r="I36" s="16">
        <f>Tabla29[[#This Row],[P2 + P5]]*VLOOKUP(MONTH(Tabla29[[#This Row],[Fecha final]]),Tabla20[#All],3,FALSE)</f>
        <v>0</v>
      </c>
      <c r="J36" s="16">
        <f>(Tabla29[[#This Row],[P3 + P6]])*VLOOKUP(MONTH(Tabla29[[#This Row],[Fecha final]]),Tabla20[#All],4,FALSE)</f>
        <v>0</v>
      </c>
      <c r="K36" s="16">
        <f>Tabla29[[#This Row],[P1 + P4]]*VLOOKUP(MONTH(Tabla29[[#This Row],[Fecha final]]),Tabla20[#All],5,FALSE)</f>
        <v>510</v>
      </c>
      <c r="L36" s="16">
        <f>Tabla29[[#This Row],[P2 + P5]]*VLOOKUP(MONTH(Tabla29[[#This Row],[Fecha final]]),Tabla20[#All],6,FALSE)</f>
        <v>176</v>
      </c>
      <c r="M36" s="16">
        <f>Tabla29[[#This Row],[P3 + P6]]*VLOOKUP(MONTH(Tabla29[[#This Row],[Fecha final]]),Tabla20[#All],7,FALSE)</f>
        <v>203</v>
      </c>
      <c r="N36" s="16">
        <f>YEAR(Tabla29[[#This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470</v>
      </c>
      <c r="G37" s="16">
        <v>326</v>
      </c>
      <c r="H37" s="16">
        <f>Tabla29[[#This Row],[P1 + P4]]*VLOOKUP(MONTH(Tabla29[[#This Row],[Fecha final]]),Tabla20[#All],2,FALSE)</f>
        <v>0</v>
      </c>
      <c r="I37" s="16">
        <f>Tabla29[[#This Row],[P2 + P5]]*VLOOKUP(MONTH(Tabla29[[#This Row],[Fecha final]]),Tabla20[#All],3,FALSE)</f>
        <v>470</v>
      </c>
      <c r="J37" s="16">
        <f>(Tabla29[[#This Row],[P3 + P6]])*VLOOKUP(MONTH(Tabla29[[#This Row],[Fecha final]]),Tabla20[#All],4,FALSE)</f>
        <v>90.236800000000002</v>
      </c>
      <c r="K37" s="16">
        <f>Tabla29[[#This Row],[P1 + P4]]*VLOOKUP(MONTH(Tabla29[[#This Row],[Fecha final]]),Tabla20[#All],5,FALSE)</f>
        <v>0</v>
      </c>
      <c r="L37" s="16">
        <f>Tabla29[[#This Row],[P2 + P5]]*VLOOKUP(MONTH(Tabla29[[#This Row],[Fecha final]]),Tabla20[#All],6,FALSE)</f>
        <v>0</v>
      </c>
      <c r="M37" s="16">
        <f>Tabla29[[#This Row],[P3 + P6]]*VLOOKUP(MONTH(Tabla29[[#This Row],[Fecha final]]),Tabla20[#All],7,FALSE)</f>
        <v>235.76319999999998</v>
      </c>
      <c r="N37" s="16">
        <f>YEAR(Tabla29[[#This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781</v>
      </c>
      <c r="F38" s="16">
        <v>258</v>
      </c>
      <c r="G38" s="16">
        <v>134</v>
      </c>
      <c r="H38" s="16">
        <f>Tabla29[[#This Row],[P1 + P4]]*VLOOKUP(MONTH(Tabla29[[#This Row],[Fecha final]]),Tabla20[#All],2,FALSE)</f>
        <v>781</v>
      </c>
      <c r="I38" s="16">
        <f>Tabla29[[#This Row],[P2 + P5]]*VLOOKUP(MONTH(Tabla29[[#This Row],[Fecha final]]),Tabla20[#All],3,FALSE)</f>
        <v>258</v>
      </c>
      <c r="J38" s="16">
        <f>(Tabla29[[#This Row],[P3 + P6]])*VLOOKUP(MONTH(Tabla29[[#This Row],[Fecha final]]),Tabla20[#All],4,FALSE)</f>
        <v>0</v>
      </c>
      <c r="K38" s="16">
        <f>Tabla29[[#This Row],[P1 + P4]]*VLOOKUP(MONTH(Tabla29[[#This Row],[Fecha final]]),Tabla20[#All],5,FALSE)</f>
        <v>0</v>
      </c>
      <c r="L38" s="16">
        <f>Tabla29[[#This Row],[P2 + P5]]*VLOOKUP(MONTH(Tabla29[[#This Row],[Fecha final]]),Tabla20[#All],6,FALSE)</f>
        <v>0</v>
      </c>
      <c r="M38" s="16">
        <f>Tabla29[[#This Row],[P3 + P6]]*VLOOKUP(MONTH(Tabla29[[#This Row],[Fecha final]]),Tabla20[#All],7,FALSE)</f>
        <v>134</v>
      </c>
      <c r="N38" s="16">
        <f>YEAR(Tabla29[[#This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1229</v>
      </c>
      <c r="F39" s="16">
        <v>324</v>
      </c>
      <c r="G39" s="16">
        <v>182</v>
      </c>
      <c r="H39" s="16">
        <f>Tabla29[[#This Row],[P1 + P4]]*VLOOKUP(MONTH(Tabla29[[#This Row],[Fecha final]]),Tabla20[#All],2,FALSE)</f>
        <v>1229</v>
      </c>
      <c r="I39" s="16">
        <f>Tabla29[[#This Row],[P2 + P5]]*VLOOKUP(MONTH(Tabla29[[#This Row],[Fecha final]]),Tabla20[#All],3,FALSE)</f>
        <v>324</v>
      </c>
      <c r="J39" s="16">
        <f>(Tabla29[[#This Row],[P3 + P6]])*VLOOKUP(MONTH(Tabla29[[#This Row],[Fecha final]]),Tabla20[#All],4,FALSE)</f>
        <v>0</v>
      </c>
      <c r="K39" s="16">
        <f>Tabla29[[#This Row],[P1 + P4]]*VLOOKUP(MONTH(Tabla29[[#This Row],[Fecha final]]),Tabla20[#All],5,FALSE)</f>
        <v>0</v>
      </c>
      <c r="L39" s="16">
        <f>Tabla29[[#This Row],[P2 + P5]]*VLOOKUP(MONTH(Tabla29[[#This Row],[Fecha final]]),Tabla20[#All],6,FALSE)</f>
        <v>0</v>
      </c>
      <c r="M39" s="16">
        <f>Tabla29[[#This Row],[P3 + P6]]*VLOOKUP(MONTH(Tabla29[[#This Row],[Fecha final]]),Tabla20[#All],7,FALSE)</f>
        <v>182</v>
      </c>
      <c r="N39" s="16">
        <f>YEAR(Tabla29[[#This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1164</v>
      </c>
      <c r="F40" s="16">
        <v>290</v>
      </c>
      <c r="G40" s="16">
        <v>167</v>
      </c>
      <c r="H40" s="16">
        <f>Tabla29[[#This Row],[P1 + P4]]*VLOOKUP(MONTH(Tabla29[[#This Row],[Fecha final]]),Tabla20[#All],2,FALSE)</f>
        <v>1164</v>
      </c>
      <c r="I40" s="16">
        <f>Tabla29[[#This Row],[P2 + P5]]*VLOOKUP(MONTH(Tabla29[[#This Row],[Fecha final]]),Tabla20[#All],3,FALSE)</f>
        <v>290</v>
      </c>
      <c r="J40" s="16">
        <f>(Tabla29[[#This Row],[P3 + P6]])*VLOOKUP(MONTH(Tabla29[[#This Row],[Fecha final]]),Tabla20[#All],4,FALSE)</f>
        <v>0</v>
      </c>
      <c r="K40" s="16">
        <f>Tabla29[[#This Row],[P1 + P4]]*VLOOKUP(MONTH(Tabla29[[#This Row],[Fecha final]]),Tabla20[#All],5,FALSE)</f>
        <v>0</v>
      </c>
      <c r="L40" s="16">
        <f>Tabla29[[#This Row],[P2 + P5]]*VLOOKUP(MONTH(Tabla29[[#This Row],[Fecha final]]),Tabla20[#All],6,FALSE)</f>
        <v>0</v>
      </c>
      <c r="M40" s="16">
        <f>Tabla29[[#This Row],[P3 + P6]]*VLOOKUP(MONTH(Tabla29[[#This Row],[Fecha final]]),Tabla20[#All],7,FALSE)</f>
        <v>167</v>
      </c>
      <c r="N40" s="16">
        <f>YEAR(Tabla29[[#This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725</v>
      </c>
      <c r="G41" s="16">
        <v>349</v>
      </c>
      <c r="H41" s="16">
        <f>Tabla29[[#This Row],[P1 + P4]]*VLOOKUP(MONTH(Tabla29[[#This Row],[Fecha final]]),Tabla20[#All],2,FALSE)</f>
        <v>0</v>
      </c>
      <c r="I41" s="16">
        <f>Tabla29[[#This Row],[P2 + P5]]*VLOOKUP(MONTH(Tabla29[[#This Row],[Fecha final]]),Tabla20[#All],3,FALSE)</f>
        <v>725</v>
      </c>
      <c r="J41" s="16">
        <f>(Tabla29[[#This Row],[P3 + P6]])*VLOOKUP(MONTH(Tabla29[[#This Row],[Fecha final]]),Tabla20[#All],4,FALSE)</f>
        <v>104.6302</v>
      </c>
      <c r="K41" s="16">
        <f>Tabla29[[#This Row],[P1 + P4]]*VLOOKUP(MONTH(Tabla29[[#This Row],[Fecha final]]),Tabla20[#All],5,FALSE)</f>
        <v>0</v>
      </c>
      <c r="L41" s="16">
        <f>Tabla29[[#This Row],[P2 + P5]]*VLOOKUP(MONTH(Tabla29[[#This Row],[Fecha final]]),Tabla20[#All],6,FALSE)</f>
        <v>0</v>
      </c>
      <c r="M41" s="16">
        <f>Tabla29[[#This Row],[P3 + P6]]*VLOOKUP(MONTH(Tabla29[[#This Row],[Fecha final]]),Tabla20[#All],7,FALSE)</f>
        <v>244.36980000000003</v>
      </c>
      <c r="N41" s="16">
        <f>YEAR(Tabla29[[#This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247</v>
      </c>
      <c r="F48" s="16">
        <v>37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246</v>
      </c>
      <c r="F49" s="16">
        <v>48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93</v>
      </c>
      <c r="F50" s="16">
        <v>37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4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33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42</v>
      </c>
      <c r="F53" s="16">
        <v>0</v>
      </c>
      <c r="G53" s="16">
        <v>220</v>
      </c>
    </row>
    <row r="54" spans="1:7">
      <c r="A54" s="16" t="s">
        <v>382</v>
      </c>
      <c r="B54" s="16" t="s">
        <v>69</v>
      </c>
      <c r="C54" s="16">
        <v>34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382</v>
      </c>
      <c r="C55" s="16">
        <v>28</v>
      </c>
      <c r="D55" s="16" t="s">
        <v>42</v>
      </c>
      <c r="E55" s="16">
        <v>310</v>
      </c>
      <c r="F55" s="16">
        <v>76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43</v>
      </c>
      <c r="F56" s="16">
        <v>0</v>
      </c>
      <c r="G56" s="16">
        <v>173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2</v>
      </c>
      <c r="F66" s="16">
        <v>0</v>
      </c>
      <c r="G66" s="16">
        <v>82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42</v>
      </c>
      <c r="F67" s="16">
        <v>0</v>
      </c>
      <c r="G67" s="16">
        <v>258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293</v>
      </c>
      <c r="F68" s="16">
        <v>47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46</v>
      </c>
      <c r="F69" s="16">
        <v>0</v>
      </c>
      <c r="G69" s="16">
        <v>286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65</v>
      </c>
      <c r="F70" s="16">
        <v>135</v>
      </c>
      <c r="G70" s="16">
        <v>9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60</v>
      </c>
      <c r="F71" s="16">
        <v>216</v>
      </c>
      <c r="G71" s="16">
        <v>42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1</v>
      </c>
      <c r="F72" s="16">
        <v>612</v>
      </c>
      <c r="G72" s="16">
        <v>6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0</v>
      </c>
      <c r="F73" s="16">
        <v>558</v>
      </c>
      <c r="G73" s="16">
        <v>15</v>
      </c>
    </row>
    <row r="74" spans="1:7">
      <c r="A74" s="16" t="s">
        <v>383</v>
      </c>
      <c r="B74" s="16" t="s">
        <v>46</v>
      </c>
      <c r="C74" s="16">
        <v>25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44</v>
      </c>
      <c r="B75" s="16" t="s">
        <v>383</v>
      </c>
      <c r="C75" s="16">
        <v>37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384</v>
      </c>
      <c r="B76" s="16" t="s">
        <v>44</v>
      </c>
      <c r="C76" s="16">
        <v>25</v>
      </c>
      <c r="D76" s="16" t="s">
        <v>42</v>
      </c>
      <c r="E76" s="16">
        <v>0</v>
      </c>
      <c r="F76" s="16">
        <v>348</v>
      </c>
      <c r="G76" s="16">
        <v>4</v>
      </c>
    </row>
    <row r="77" spans="1:7">
      <c r="A77" s="16" t="s">
        <v>43</v>
      </c>
      <c r="B77" s="16" t="s">
        <v>384</v>
      </c>
      <c r="C77" s="16">
        <v>5</v>
      </c>
      <c r="D77" s="16" t="s">
        <v>42</v>
      </c>
      <c r="E77" s="16">
        <v>0</v>
      </c>
      <c r="F77" s="16">
        <v>16</v>
      </c>
      <c r="G77" s="16">
        <v>1</v>
      </c>
    </row>
    <row r="78" spans="1:7">
      <c r="A78" s="16" t="s">
        <v>385</v>
      </c>
      <c r="B78" s="16" t="s">
        <v>43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386</v>
      </c>
      <c r="B79" s="16" t="s">
        <v>385</v>
      </c>
      <c r="C79" s="16">
        <v>30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387</v>
      </c>
      <c r="B80" s="16" t="s">
        <v>386</v>
      </c>
      <c r="C80" s="16">
        <v>41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388</v>
      </c>
      <c r="B81" s="16" t="s">
        <v>387</v>
      </c>
      <c r="C81" s="16">
        <v>40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49.73</v>
      </c>
      <c r="C87" s="16">
        <v>49.73</v>
      </c>
      <c r="D87" s="16">
        <v>49.73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15</v>
      </c>
      <c r="G89" s="16">
        <v>13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15</v>
      </c>
      <c r="F90" s="16">
        <v>14</v>
      </c>
      <c r="G90" s="16">
        <v>3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15</v>
      </c>
      <c r="F91" s="16">
        <v>15</v>
      </c>
      <c r="G91" s="16">
        <v>2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16</v>
      </c>
      <c r="F92" s="16">
        <v>15</v>
      </c>
      <c r="G92" s="16">
        <v>7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14</v>
      </c>
      <c r="G93" s="16">
        <v>13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13</v>
      </c>
      <c r="F94" s="16">
        <v>12</v>
      </c>
      <c r="G94" s="16">
        <v>1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13</v>
      </c>
      <c r="F95" s="16">
        <v>0</v>
      </c>
      <c r="G95" s="16">
        <v>14</v>
      </c>
    </row>
    <row r="96" spans="1:7">
      <c r="A96" s="16" t="s">
        <v>382</v>
      </c>
      <c r="B96" s="16" t="s">
        <v>69</v>
      </c>
      <c r="C96" s="16">
        <v>34</v>
      </c>
      <c r="D96" s="16" t="s">
        <v>42</v>
      </c>
      <c r="E96" s="16">
        <v>14</v>
      </c>
      <c r="F96" s="16">
        <v>0</v>
      </c>
      <c r="G96" s="16">
        <v>14</v>
      </c>
    </row>
    <row r="97" spans="1:7">
      <c r="A97" s="16" t="s">
        <v>67</v>
      </c>
      <c r="B97" s="16" t="s">
        <v>382</v>
      </c>
      <c r="C97" s="16">
        <v>28</v>
      </c>
      <c r="D97" s="16" t="s">
        <v>42</v>
      </c>
      <c r="E97" s="16">
        <v>15</v>
      </c>
      <c r="F97" s="16">
        <v>14</v>
      </c>
      <c r="G97" s="16">
        <v>2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17</v>
      </c>
      <c r="F98" s="16">
        <v>0</v>
      </c>
      <c r="G98" s="16">
        <v>17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4.0309999999999997</v>
      </c>
      <c r="F99" s="16">
        <v>2.1760000000000002</v>
      </c>
      <c r="G99" s="16">
        <v>0.79900000000000004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19</v>
      </c>
      <c r="F100" s="16">
        <v>18</v>
      </c>
      <c r="G100" s="16">
        <v>3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21</v>
      </c>
      <c r="G101" s="16">
        <v>20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22</v>
      </c>
      <c r="F102" s="16">
        <v>25</v>
      </c>
      <c r="G102" s="16">
        <v>20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24</v>
      </c>
      <c r="F103" s="16">
        <v>24</v>
      </c>
      <c r="G103" s="16">
        <v>20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24</v>
      </c>
      <c r="F104" s="16">
        <v>27</v>
      </c>
      <c r="G104" s="16">
        <v>6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49.73</v>
      </c>
      <c r="F105" s="16">
        <v>49.73</v>
      </c>
      <c r="G105" s="16">
        <v>49.73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49.73</v>
      </c>
      <c r="F106" s="16">
        <v>49.73</v>
      </c>
      <c r="G106" s="16">
        <v>49.73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49.73</v>
      </c>
      <c r="F107" s="16">
        <v>49.73</v>
      </c>
      <c r="G107" s="16">
        <v>49.73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49.73</v>
      </c>
      <c r="F108" s="16">
        <v>49.73</v>
      </c>
      <c r="G108" s="16">
        <v>49.73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49.73</v>
      </c>
      <c r="F109" s="16">
        <v>49.73</v>
      </c>
      <c r="G109" s="16">
        <v>49.73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49.73</v>
      </c>
      <c r="F110" s="16">
        <v>49.73</v>
      </c>
      <c r="G110" s="16">
        <v>49.73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49.73</v>
      </c>
      <c r="F111" s="16">
        <v>49.73</v>
      </c>
      <c r="G111" s="16">
        <v>49.73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4</v>
      </c>
      <c r="F112" s="16">
        <v>2</v>
      </c>
      <c r="G112" s="16">
        <v>1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18</v>
      </c>
      <c r="F113" s="16">
        <v>19</v>
      </c>
      <c r="G113" s="16">
        <v>7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9</v>
      </c>
      <c r="F114" s="16">
        <v>21</v>
      </c>
      <c r="G114" s="16">
        <v>1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2</v>
      </c>
      <c r="F115" s="16">
        <v>23</v>
      </c>
      <c r="G115" s="16">
        <v>13</v>
      </c>
    </row>
    <row r="116" spans="1:7">
      <c r="A116" s="16" t="s">
        <v>383</v>
      </c>
      <c r="B116" s="16" t="s">
        <v>46</v>
      </c>
      <c r="C116" s="16">
        <v>25</v>
      </c>
      <c r="D116" s="16" t="s">
        <v>42</v>
      </c>
      <c r="E116" s="16">
        <v>42</v>
      </c>
      <c r="F116" s="16">
        <v>42</v>
      </c>
      <c r="G116" s="16">
        <v>42</v>
      </c>
    </row>
    <row r="117" spans="1:7">
      <c r="A117" s="16" t="s">
        <v>44</v>
      </c>
      <c r="B117" s="16" t="s">
        <v>383</v>
      </c>
      <c r="C117" s="16">
        <v>37</v>
      </c>
      <c r="D117" s="16" t="s">
        <v>42</v>
      </c>
      <c r="E117" s="16">
        <v>42</v>
      </c>
      <c r="F117" s="16">
        <v>42</v>
      </c>
      <c r="G117" s="16">
        <v>42</v>
      </c>
    </row>
    <row r="118" spans="1:7">
      <c r="A118" s="16" t="s">
        <v>384</v>
      </c>
      <c r="B118" s="16" t="s">
        <v>44</v>
      </c>
      <c r="C118" s="16">
        <v>25</v>
      </c>
      <c r="D118" s="16" t="s">
        <v>42</v>
      </c>
      <c r="E118" s="16">
        <v>2</v>
      </c>
      <c r="F118" s="16">
        <v>22</v>
      </c>
      <c r="G118" s="16">
        <v>5</v>
      </c>
    </row>
    <row r="119" spans="1:7">
      <c r="A119" s="16" t="s">
        <v>43</v>
      </c>
      <c r="B119" s="16" t="s">
        <v>384</v>
      </c>
      <c r="C119" s="16">
        <v>5</v>
      </c>
      <c r="D119" s="16" t="s">
        <v>42</v>
      </c>
      <c r="E119" s="16">
        <v>1</v>
      </c>
      <c r="F119" s="16">
        <v>16</v>
      </c>
      <c r="G119" s="16">
        <v>7</v>
      </c>
    </row>
    <row r="120" spans="1:7">
      <c r="A120" s="16" t="s">
        <v>385</v>
      </c>
      <c r="B120" s="16" t="s">
        <v>43</v>
      </c>
      <c r="C120" s="16">
        <v>29</v>
      </c>
      <c r="D120" s="16" t="s">
        <v>42</v>
      </c>
      <c r="E120" s="16">
        <v>1</v>
      </c>
      <c r="F120" s="16">
        <v>4</v>
      </c>
      <c r="G120" s="16">
        <v>1</v>
      </c>
    </row>
    <row r="121" spans="1:7">
      <c r="A121" s="16" t="s">
        <v>386</v>
      </c>
      <c r="B121" s="16" t="s">
        <v>385</v>
      </c>
      <c r="C121" s="16">
        <v>30</v>
      </c>
      <c r="D121" s="16" t="s">
        <v>42</v>
      </c>
      <c r="E121" s="16">
        <v>42</v>
      </c>
      <c r="F121" s="16">
        <v>42</v>
      </c>
      <c r="G121" s="16">
        <v>42</v>
      </c>
    </row>
    <row r="122" spans="1:7">
      <c r="A122" s="16" t="s">
        <v>387</v>
      </c>
      <c r="B122" s="16" t="s">
        <v>386</v>
      </c>
      <c r="C122" s="16">
        <v>41</v>
      </c>
      <c r="D122" s="16" t="s">
        <v>42</v>
      </c>
      <c r="E122" s="16">
        <v>42</v>
      </c>
      <c r="F122" s="16">
        <v>42</v>
      </c>
      <c r="G122" s="16">
        <v>42</v>
      </c>
    </row>
    <row r="123" spans="1:7">
      <c r="A123" s="16" t="s">
        <v>388</v>
      </c>
      <c r="B123" s="16" t="s">
        <v>387</v>
      </c>
      <c r="C123" s="16">
        <v>40</v>
      </c>
      <c r="D123" s="16" t="s">
        <v>42</v>
      </c>
      <c r="E123" s="16">
        <v>42</v>
      </c>
      <c r="F123" s="16">
        <v>42</v>
      </c>
      <c r="G123" s="16">
        <v>42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F185-8039-45AB-A047-A07933B2E74B}">
  <dimension ref="A1:I123"/>
  <sheetViews>
    <sheetView topLeftCell="A16" workbookViewId="0">
      <selection activeCell="H26" sqref="H26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9">
      <c r="A1" s="16" t="s">
        <v>30</v>
      </c>
    </row>
    <row r="3" spans="1:9">
      <c r="A3" s="16" t="s">
        <v>369</v>
      </c>
      <c r="B3" s="16" t="s">
        <v>32</v>
      </c>
      <c r="C3" s="16" t="s">
        <v>33</v>
      </c>
      <c r="D3" s="16" t="s">
        <v>34</v>
      </c>
    </row>
    <row r="4" spans="1:9">
      <c r="A4" s="16" t="s">
        <v>35</v>
      </c>
      <c r="B4" s="16">
        <v>201</v>
      </c>
      <c r="C4" s="16">
        <v>199</v>
      </c>
      <c r="D4" s="16">
        <v>459</v>
      </c>
    </row>
    <row r="5" spans="1:9">
      <c r="A5" s="16" t="s">
        <v>36</v>
      </c>
      <c r="B5" s="16">
        <v>23</v>
      </c>
      <c r="C5" s="16">
        <v>23</v>
      </c>
      <c r="D5" s="16">
        <v>53</v>
      </c>
    </row>
    <row r="6" spans="1:9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</row>
    <row r="7" spans="1:9">
      <c r="A7" s="17">
        <v>44012</v>
      </c>
      <c r="B7" s="16" t="s">
        <v>88</v>
      </c>
      <c r="C7" s="16">
        <v>31</v>
      </c>
      <c r="D7" s="16" t="s">
        <v>42</v>
      </c>
      <c r="E7" s="16">
        <v>477</v>
      </c>
      <c r="F7" s="16">
        <v>564</v>
      </c>
      <c r="G7" s="16">
        <v>120</v>
      </c>
      <c r="H7" s="16">
        <f>Tabla28[[#This Row],[P1 + P4]]+Tabla28[[#This Row],[P2 + P5]]</f>
        <v>1041</v>
      </c>
      <c r="I7" s="16">
        <f>Tabla28[[#This Row],[P3 + P6]]</f>
        <v>120</v>
      </c>
    </row>
    <row r="8" spans="1:9">
      <c r="A8" s="17">
        <v>44043</v>
      </c>
      <c r="B8" s="16" t="s">
        <v>78</v>
      </c>
      <c r="C8" s="16">
        <v>31</v>
      </c>
      <c r="D8" s="16" t="s">
        <v>42</v>
      </c>
      <c r="E8" s="16">
        <v>353</v>
      </c>
      <c r="F8" s="16">
        <v>384</v>
      </c>
      <c r="G8" s="16">
        <v>99</v>
      </c>
      <c r="H8" s="16">
        <f>Tabla28[[#This Row],[P1 + P4]]+Tabla28[[#This Row],[P2 + P5]]</f>
        <v>737</v>
      </c>
      <c r="I8" s="16">
        <f>Tabla28[[#This Row],[P3 + P6]]</f>
        <v>99</v>
      </c>
    </row>
    <row r="9" spans="1:9">
      <c r="A9" s="17">
        <v>44074</v>
      </c>
      <c r="B9" s="16" t="s">
        <v>41</v>
      </c>
      <c r="C9" s="16">
        <v>30</v>
      </c>
      <c r="D9" s="16" t="s">
        <v>42</v>
      </c>
      <c r="E9" s="16">
        <v>181</v>
      </c>
      <c r="F9" s="16">
        <v>315</v>
      </c>
      <c r="G9" s="16">
        <v>93</v>
      </c>
      <c r="H9" s="16">
        <f>Tabla28[[#This Row],[P1 + P4]]+Tabla28[[#This Row],[P2 + P5]]</f>
        <v>496</v>
      </c>
      <c r="I9" s="16">
        <f>Tabla28[[#This Row],[P3 + P6]]</f>
        <v>93</v>
      </c>
    </row>
    <row r="10" spans="1:9">
      <c r="A10" s="17">
        <v>44104</v>
      </c>
      <c r="B10" s="16" t="s">
        <v>43</v>
      </c>
      <c r="C10" s="16">
        <v>31</v>
      </c>
      <c r="D10" s="16" t="s">
        <v>42</v>
      </c>
      <c r="E10" s="16">
        <v>103</v>
      </c>
      <c r="F10" s="16">
        <v>334</v>
      </c>
      <c r="G10" s="16">
        <v>102</v>
      </c>
      <c r="H10" s="16">
        <f>Tabla28[[#This Row],[P1 + P4]]+Tabla28[[#This Row],[P2 + P5]]</f>
        <v>437</v>
      </c>
      <c r="I10" s="16">
        <f>Tabla28[[#This Row],[P3 + P6]]</f>
        <v>102</v>
      </c>
    </row>
    <row r="11" spans="1:9">
      <c r="A11" s="17">
        <v>44135</v>
      </c>
      <c r="B11" s="16" t="s">
        <v>44</v>
      </c>
      <c r="C11" s="16">
        <v>30</v>
      </c>
      <c r="D11" s="16" t="s">
        <v>42</v>
      </c>
      <c r="E11" s="16">
        <v>59</v>
      </c>
      <c r="F11" s="16">
        <v>624</v>
      </c>
      <c r="G11" s="16">
        <v>105</v>
      </c>
      <c r="H11" s="16">
        <f>Tabla28[[#This Row],[P1 + P4]]+Tabla28[[#This Row],[P2 + P5]]</f>
        <v>683</v>
      </c>
      <c r="I11" s="16">
        <f>Tabla28[[#This Row],[P3 + P6]]</f>
        <v>105</v>
      </c>
    </row>
    <row r="12" spans="1:9">
      <c r="A12" s="17">
        <v>44165</v>
      </c>
      <c r="B12" s="16" t="s">
        <v>45</v>
      </c>
      <c r="C12" s="16">
        <v>31</v>
      </c>
      <c r="D12" s="16" t="s">
        <v>42</v>
      </c>
      <c r="E12" s="16">
        <v>69</v>
      </c>
      <c r="F12" s="16">
        <v>874</v>
      </c>
      <c r="G12" s="16">
        <v>133</v>
      </c>
      <c r="H12" s="16">
        <f>Tabla28[[#This Row],[P1 + P4]]+Tabla28[[#This Row],[P2 + P5]]</f>
        <v>943</v>
      </c>
      <c r="I12" s="16">
        <f>Tabla28[[#This Row],[P3 + P6]]</f>
        <v>133</v>
      </c>
    </row>
    <row r="13" spans="1:9">
      <c r="A13" s="17">
        <v>44196</v>
      </c>
      <c r="B13" s="16" t="s">
        <v>46</v>
      </c>
      <c r="C13" s="16">
        <v>31</v>
      </c>
      <c r="D13" s="16" t="s">
        <v>42</v>
      </c>
      <c r="E13" s="16">
        <v>63</v>
      </c>
      <c r="F13" s="16">
        <v>855</v>
      </c>
      <c r="G13" s="16">
        <v>106</v>
      </c>
      <c r="H13" s="16">
        <f>Tabla28[[#This Row],[P1 + P4]]+Tabla28[[#This Row],[P2 + P5]]</f>
        <v>918</v>
      </c>
      <c r="I13" s="16">
        <f>Tabla28[[#This Row],[P3 + P6]]</f>
        <v>106</v>
      </c>
    </row>
    <row r="14" spans="1:9">
      <c r="A14" s="17">
        <v>44227</v>
      </c>
      <c r="B14" s="16" t="s">
        <v>47</v>
      </c>
      <c r="C14" s="16">
        <v>28</v>
      </c>
      <c r="D14" s="16" t="s">
        <v>42</v>
      </c>
      <c r="E14" s="16">
        <v>52</v>
      </c>
      <c r="F14" s="16">
        <v>727</v>
      </c>
      <c r="G14" s="16">
        <v>91</v>
      </c>
      <c r="H14" s="16">
        <f>Tabla28[[#This Row],[P1 + P4]]+Tabla28[[#This Row],[P2 + P5]]</f>
        <v>779</v>
      </c>
      <c r="I14" s="16">
        <f>Tabla28[[#This Row],[P3 + P6]]</f>
        <v>91</v>
      </c>
    </row>
    <row r="15" spans="1:9">
      <c r="A15" s="17">
        <v>44255</v>
      </c>
      <c r="B15" s="16" t="s">
        <v>136</v>
      </c>
      <c r="C15" s="16">
        <v>36</v>
      </c>
      <c r="D15" s="16" t="s">
        <v>42</v>
      </c>
      <c r="E15" s="16">
        <v>89</v>
      </c>
      <c r="F15" s="16">
        <v>741</v>
      </c>
      <c r="G15" s="16">
        <v>122</v>
      </c>
      <c r="H15" s="16">
        <f>Tabla28[[#This Row],[P1 + P4]]+Tabla28[[#This Row],[P2 + P5]]</f>
        <v>830</v>
      </c>
      <c r="I15" s="16">
        <f>Tabla28[[#This Row],[P3 + P6]]</f>
        <v>122</v>
      </c>
    </row>
    <row r="16" spans="1:9">
      <c r="A16" s="17">
        <v>44291</v>
      </c>
      <c r="B16" s="16" t="s">
        <v>50</v>
      </c>
      <c r="C16" s="16">
        <v>25</v>
      </c>
      <c r="D16" s="16" t="s">
        <v>42</v>
      </c>
      <c r="E16" s="16">
        <v>131</v>
      </c>
      <c r="F16" s="16">
        <v>340</v>
      </c>
      <c r="G16" s="16">
        <v>154</v>
      </c>
      <c r="H16" s="16">
        <f>Tabla28[[#This Row],[P1 + P4]]+Tabla28[[#This Row],[P2 + P5]]</f>
        <v>471</v>
      </c>
      <c r="I16" s="16">
        <f>Tabla28[[#This Row],[P3 + P6]]</f>
        <v>154</v>
      </c>
    </row>
    <row r="17" spans="1:9">
      <c r="A17" s="17">
        <v>44316</v>
      </c>
      <c r="B17" s="16" t="s">
        <v>51</v>
      </c>
      <c r="C17" s="16">
        <v>31</v>
      </c>
      <c r="D17" s="16" t="s">
        <v>42</v>
      </c>
      <c r="E17" s="16">
        <v>123</v>
      </c>
      <c r="F17" s="16">
        <v>310</v>
      </c>
      <c r="G17" s="16">
        <v>140</v>
      </c>
      <c r="H17" s="16">
        <f>Tabla28[[#This Row],[P1 + P4]]+Tabla28[[#This Row],[P2 + P5]]</f>
        <v>433</v>
      </c>
      <c r="I17" s="16">
        <f>Tabla28[[#This Row],[P3 + P6]]</f>
        <v>140</v>
      </c>
    </row>
    <row r="18" spans="1:9">
      <c r="A18" s="17">
        <v>44347</v>
      </c>
      <c r="B18" s="16" t="s">
        <v>52</v>
      </c>
      <c r="C18" s="16">
        <v>30</v>
      </c>
      <c r="D18" s="16" t="s">
        <v>42</v>
      </c>
      <c r="E18" s="16">
        <v>132</v>
      </c>
      <c r="F18" s="16">
        <v>0</v>
      </c>
      <c r="G18" s="16">
        <v>449</v>
      </c>
      <c r="H18" s="16">
        <f>Tabla28[[#This Row],[P1 + P4]]+Tabla28[[#This Row],[P2 + P5]]</f>
        <v>132</v>
      </c>
      <c r="I18" s="16">
        <f>Tabla28[[#This Row],[P3 + P6]]</f>
        <v>449</v>
      </c>
    </row>
    <row r="19" spans="1:9">
      <c r="A19" s="17">
        <v>44377</v>
      </c>
      <c r="B19" s="16" t="s">
        <v>53</v>
      </c>
      <c r="C19" s="16">
        <v>31</v>
      </c>
      <c r="D19" s="16" t="s">
        <v>42</v>
      </c>
      <c r="E19" s="16">
        <v>584</v>
      </c>
      <c r="F19" s="16">
        <v>202</v>
      </c>
      <c r="G19" s="16">
        <v>145</v>
      </c>
      <c r="H19" s="16">
        <f>Tabla28[[#This Row],[P1 + P4]]+Tabla28[[#This Row],[P2 + P5]]</f>
        <v>786</v>
      </c>
      <c r="I19" s="16">
        <f>Tabla28[[#This Row],[P3 + P6]]</f>
        <v>145</v>
      </c>
    </row>
    <row r="20" spans="1:9">
      <c r="A20" s="17">
        <v>44408</v>
      </c>
      <c r="B20" s="16" t="s">
        <v>54</v>
      </c>
      <c r="C20" s="16">
        <v>31</v>
      </c>
      <c r="D20" s="16" t="s">
        <v>42</v>
      </c>
      <c r="E20" s="16">
        <v>167</v>
      </c>
      <c r="F20" s="16">
        <v>0</v>
      </c>
      <c r="G20" s="16">
        <v>712</v>
      </c>
      <c r="H20" s="16">
        <f>Tabla28[[#This Row],[P1 + P4]]+Tabla28[[#This Row],[P2 + P5]]</f>
        <v>167</v>
      </c>
      <c r="I20" s="16">
        <f>Tabla28[[#This Row],[P3 + P6]]</f>
        <v>712</v>
      </c>
    </row>
    <row r="21" spans="1:9">
      <c r="A21" s="17">
        <v>44439</v>
      </c>
      <c r="B21" s="16" t="s">
        <v>55</v>
      </c>
      <c r="C21" s="16">
        <v>30</v>
      </c>
      <c r="D21" s="16" t="s">
        <v>42</v>
      </c>
      <c r="E21" s="16">
        <v>181</v>
      </c>
      <c r="F21" s="16">
        <v>0</v>
      </c>
      <c r="G21" s="16">
        <v>515</v>
      </c>
      <c r="H21" s="16">
        <f>Tabla28[[#This Row],[P1 + P4]]+Tabla28[[#This Row],[P2 + P5]]</f>
        <v>181</v>
      </c>
      <c r="I21" s="16">
        <f>Tabla28[[#This Row],[P3 + P6]]</f>
        <v>515</v>
      </c>
    </row>
    <row r="22" spans="1:9">
      <c r="A22" s="17">
        <v>44469</v>
      </c>
      <c r="B22" s="16" t="s">
        <v>57</v>
      </c>
      <c r="C22" s="16">
        <v>31</v>
      </c>
      <c r="D22" s="16" t="s">
        <v>42</v>
      </c>
      <c r="E22" s="16">
        <v>195</v>
      </c>
      <c r="F22" s="16">
        <v>112</v>
      </c>
      <c r="G22" s="16">
        <v>152</v>
      </c>
      <c r="H22" s="16">
        <f>Tabla28[[#This Row],[P1 + P4]]+Tabla28[[#This Row],[P2 + P5]]</f>
        <v>307</v>
      </c>
      <c r="I22" s="16">
        <f>Tabla28[[#This Row],[P3 + P6]]</f>
        <v>152</v>
      </c>
    </row>
    <row r="23" spans="1:9">
      <c r="A23" s="17">
        <v>44500</v>
      </c>
      <c r="B23" s="16" t="s">
        <v>58</v>
      </c>
      <c r="C23" s="16">
        <v>30</v>
      </c>
      <c r="D23" s="16" t="s">
        <v>42</v>
      </c>
      <c r="E23" s="16">
        <v>0</v>
      </c>
      <c r="F23" s="16">
        <v>445</v>
      </c>
      <c r="G23" s="16">
        <v>436</v>
      </c>
      <c r="H23" s="16">
        <f>Tabla28[[#This Row],[P1 + P4]]+Tabla28[[#This Row],[P2 + P5]]</f>
        <v>445</v>
      </c>
      <c r="I23" s="16">
        <f>Tabla28[[#This Row],[P3 + P6]]</f>
        <v>436</v>
      </c>
    </row>
    <row r="24" spans="1:9">
      <c r="A24" s="17">
        <v>44530</v>
      </c>
      <c r="B24" s="16" t="s">
        <v>59</v>
      </c>
      <c r="C24" s="16">
        <v>2</v>
      </c>
      <c r="D24" s="16" t="s">
        <v>42</v>
      </c>
      <c r="E24" s="16">
        <v>50</v>
      </c>
      <c r="F24" s="16">
        <v>40</v>
      </c>
      <c r="G24" s="16">
        <v>7</v>
      </c>
      <c r="H24" s="16">
        <f>Tabla28[[#This Row],[P1 + P4]]+Tabla28[[#This Row],[P2 + P5]]</f>
        <v>90</v>
      </c>
      <c r="I24" s="16">
        <f>Tabla28[[#This Row],[P3 + P6]]</f>
        <v>7</v>
      </c>
    </row>
    <row r="25" spans="1:9">
      <c r="A25" s="17">
        <v>44532</v>
      </c>
      <c r="B25" s="16" t="s">
        <v>60</v>
      </c>
      <c r="C25" s="16">
        <v>29</v>
      </c>
      <c r="D25" s="16" t="s">
        <v>42</v>
      </c>
      <c r="E25" s="16">
        <v>360</v>
      </c>
      <c r="F25" s="16">
        <v>206</v>
      </c>
      <c r="G25" s="16">
        <v>159</v>
      </c>
      <c r="H25" s="16">
        <f>Tabla28[[#This Row],[P1 + P4]]+Tabla28[[#This Row],[P2 + P5]]</f>
        <v>566</v>
      </c>
      <c r="I25" s="16">
        <f>Tabla28[[#This Row],[P3 + P6]]</f>
        <v>159</v>
      </c>
    </row>
    <row r="26" spans="1:9">
      <c r="A26" s="17">
        <v>44561</v>
      </c>
      <c r="B26" s="16" t="s">
        <v>61</v>
      </c>
      <c r="C26" s="16">
        <v>31</v>
      </c>
      <c r="D26" s="16" t="s">
        <v>42</v>
      </c>
      <c r="E26" s="16">
        <v>107</v>
      </c>
      <c r="F26" s="16">
        <v>66</v>
      </c>
      <c r="G26" s="16">
        <v>166</v>
      </c>
      <c r="H26" s="16">
        <f>Tabla28[[#This Row],[P1 + P4]]+Tabla28[[#This Row],[P2 + P5]]</f>
        <v>173</v>
      </c>
      <c r="I26" s="16">
        <f>Tabla28[[#This Row],[P3 + P6]]</f>
        <v>166</v>
      </c>
    </row>
    <row r="27" spans="1:9">
      <c r="A27" s="17">
        <v>44592</v>
      </c>
      <c r="B27" s="16" t="s">
        <v>62</v>
      </c>
      <c r="C27" s="16">
        <v>28</v>
      </c>
      <c r="D27" s="16" t="s">
        <v>42</v>
      </c>
      <c r="E27" s="16">
        <v>370</v>
      </c>
      <c r="F27" s="16">
        <v>210</v>
      </c>
      <c r="G27" s="16">
        <v>155</v>
      </c>
      <c r="H27" s="16">
        <f>Tabla28[[#This Row],[P1 + P4]]+Tabla28[[#This Row],[P2 + P5]]</f>
        <v>580</v>
      </c>
      <c r="I27" s="16">
        <f>Tabla28[[#This Row],[P3 + P6]]</f>
        <v>155</v>
      </c>
    </row>
    <row r="28" spans="1:9">
      <c r="A28" s="17">
        <v>44620</v>
      </c>
      <c r="B28" s="16" t="s">
        <v>63</v>
      </c>
      <c r="C28" s="16">
        <v>31</v>
      </c>
      <c r="D28" s="16" t="s">
        <v>42</v>
      </c>
      <c r="E28" s="16">
        <v>0</v>
      </c>
      <c r="F28" s="16">
        <v>28</v>
      </c>
      <c r="G28" s="16">
        <v>76</v>
      </c>
      <c r="H28" s="16">
        <f>Tabla28[[#This Row],[P1 + P4]]+Tabla28[[#This Row],[P2 + P5]]</f>
        <v>28</v>
      </c>
      <c r="I28" s="16">
        <f>Tabla28[[#This Row],[P3 + P6]]</f>
        <v>76</v>
      </c>
    </row>
    <row r="29" spans="1:9">
      <c r="A29" s="17">
        <v>44651</v>
      </c>
      <c r="B29" s="16" t="s">
        <v>380</v>
      </c>
      <c r="C29" s="16">
        <v>7</v>
      </c>
      <c r="D29" s="16" t="s">
        <v>42</v>
      </c>
      <c r="E29" s="16">
        <v>6</v>
      </c>
      <c r="F29" s="16">
        <v>4</v>
      </c>
      <c r="G29" s="16">
        <v>11</v>
      </c>
      <c r="H29" s="16">
        <f>Tabla28[[#This Row],[P1 + P4]]+Tabla28[[#This Row],[P2 + P5]]</f>
        <v>10</v>
      </c>
      <c r="I29" s="16">
        <f>Tabla28[[#This Row],[P3 + P6]]</f>
        <v>11</v>
      </c>
    </row>
    <row r="30" spans="1:9">
      <c r="A30" s="17">
        <v>44658</v>
      </c>
      <c r="B30" s="16" t="s">
        <v>379</v>
      </c>
      <c r="C30" s="16">
        <v>22</v>
      </c>
      <c r="D30" s="16" t="s">
        <v>42</v>
      </c>
      <c r="E30" s="16">
        <v>15</v>
      </c>
      <c r="F30" s="16">
        <v>14</v>
      </c>
      <c r="G30" s="16">
        <v>26</v>
      </c>
      <c r="H30" s="16">
        <f>Tabla28[[#This Row],[P1 + P4]]+Tabla28[[#This Row],[P2 + P5]]</f>
        <v>29</v>
      </c>
      <c r="I30" s="16">
        <f>Tabla28[[#This Row],[P3 + P6]]</f>
        <v>26</v>
      </c>
    </row>
    <row r="31" spans="1:9">
      <c r="A31" s="17">
        <v>44680</v>
      </c>
      <c r="B31" s="16" t="s">
        <v>322</v>
      </c>
      <c r="C31" s="16">
        <v>37</v>
      </c>
      <c r="D31" s="16" t="s">
        <v>42</v>
      </c>
      <c r="E31" s="16">
        <v>20</v>
      </c>
      <c r="F31" s="16">
        <v>19</v>
      </c>
      <c r="G31" s="16">
        <v>46</v>
      </c>
      <c r="H31" s="16">
        <f>Tabla28[[#This Row],[P1 + P4]]+Tabla28[[#This Row],[P2 + P5]]</f>
        <v>39</v>
      </c>
      <c r="I31" s="16">
        <f>Tabla28[[#This Row],[P3 + P6]]</f>
        <v>46</v>
      </c>
    </row>
    <row r="32" spans="1:9">
      <c r="A32" s="17">
        <v>44717</v>
      </c>
      <c r="B32" s="16" t="s">
        <v>378</v>
      </c>
      <c r="C32" s="16">
        <v>31</v>
      </c>
      <c r="D32" s="16" t="s">
        <v>42</v>
      </c>
      <c r="E32" s="16">
        <v>17</v>
      </c>
      <c r="F32" s="16">
        <v>16</v>
      </c>
      <c r="G32" s="16">
        <v>34</v>
      </c>
      <c r="H32" s="16">
        <f>Tabla28[[#This Row],[P1 + P4]]+Tabla28[[#This Row],[P2 + P5]]</f>
        <v>33</v>
      </c>
      <c r="I32" s="16">
        <f>Tabla28[[#This Row],[P3 + P6]]</f>
        <v>34</v>
      </c>
    </row>
    <row r="33" spans="1:9">
      <c r="A33" s="17">
        <v>44748</v>
      </c>
      <c r="B33" s="16" t="s">
        <v>377</v>
      </c>
      <c r="C33" s="16">
        <v>28</v>
      </c>
      <c r="D33" s="16" t="s">
        <v>42</v>
      </c>
      <c r="E33" s="16">
        <v>17</v>
      </c>
      <c r="F33" s="16">
        <v>19</v>
      </c>
      <c r="G33" s="16">
        <v>40</v>
      </c>
      <c r="H33" s="16">
        <f>Tabla28[[#This Row],[P1 + P4]]+Tabla28[[#This Row],[P2 + P5]]</f>
        <v>36</v>
      </c>
      <c r="I33" s="16">
        <f>Tabla28[[#This Row],[P3 + P6]]</f>
        <v>40</v>
      </c>
    </row>
    <row r="34" spans="1:9">
      <c r="A34" s="17">
        <v>44776</v>
      </c>
      <c r="B34" s="16" t="s">
        <v>294</v>
      </c>
      <c r="C34" s="16">
        <v>33</v>
      </c>
      <c r="D34" s="16" t="s">
        <v>42</v>
      </c>
      <c r="E34" s="16">
        <v>15</v>
      </c>
      <c r="F34" s="16">
        <v>15</v>
      </c>
      <c r="G34" s="16">
        <v>39</v>
      </c>
      <c r="H34" s="16">
        <f>Tabla28[[#This Row],[P1 + P4]]+Tabla28[[#This Row],[P2 + P5]]</f>
        <v>30</v>
      </c>
      <c r="I34" s="16">
        <f>Tabla28[[#This Row],[P3 + P6]]</f>
        <v>39</v>
      </c>
    </row>
    <row r="35" spans="1:9">
      <c r="A35" s="17">
        <v>44809</v>
      </c>
      <c r="B35" s="16" t="s">
        <v>376</v>
      </c>
      <c r="C35" s="16">
        <v>30</v>
      </c>
      <c r="D35" s="16" t="s">
        <v>42</v>
      </c>
      <c r="E35" s="16">
        <v>16</v>
      </c>
      <c r="F35" s="16">
        <v>16</v>
      </c>
      <c r="G35" s="16">
        <v>34</v>
      </c>
      <c r="H35" s="16">
        <f>Tabla28[[#This Row],[P1 + P4]]+Tabla28[[#This Row],[P2 + P5]]</f>
        <v>32</v>
      </c>
      <c r="I35" s="16">
        <f>Tabla28[[#This Row],[P3 + P6]]</f>
        <v>34</v>
      </c>
    </row>
    <row r="36" spans="1:9">
      <c r="A36" s="17">
        <v>44839</v>
      </c>
      <c r="B36" s="16" t="s">
        <v>375</v>
      </c>
      <c r="C36" s="16">
        <v>31</v>
      </c>
      <c r="D36" s="16" t="s">
        <v>42</v>
      </c>
      <c r="E36" s="16">
        <v>15</v>
      </c>
      <c r="F36" s="16">
        <v>15</v>
      </c>
      <c r="G36" s="16">
        <v>40</v>
      </c>
      <c r="H36" s="16">
        <f>Tabla28[[#This Row],[P1 + P4]]+Tabla28[[#This Row],[P2 + P5]]</f>
        <v>30</v>
      </c>
      <c r="I36" s="16">
        <f>Tabla28[[#This Row],[P3 + P6]]</f>
        <v>40</v>
      </c>
    </row>
    <row r="37" spans="1:9">
      <c r="A37" s="17">
        <v>44870</v>
      </c>
      <c r="B37" s="16" t="s">
        <v>374</v>
      </c>
      <c r="C37" s="16">
        <v>33</v>
      </c>
      <c r="D37" s="16" t="s">
        <v>42</v>
      </c>
      <c r="E37" s="16">
        <v>17</v>
      </c>
      <c r="F37" s="16">
        <v>17</v>
      </c>
      <c r="G37" s="16">
        <v>44</v>
      </c>
      <c r="H37" s="16">
        <f>Tabla28[[#This Row],[P1 + P4]]+Tabla28[[#This Row],[P2 + P5]]</f>
        <v>34</v>
      </c>
      <c r="I37" s="16">
        <f>Tabla28[[#This Row],[P3 + P6]]</f>
        <v>44</v>
      </c>
    </row>
    <row r="38" spans="1:9">
      <c r="A38" s="17">
        <v>44903</v>
      </c>
      <c r="B38" s="16" t="s">
        <v>373</v>
      </c>
      <c r="C38" s="16">
        <v>31</v>
      </c>
      <c r="D38" s="16" t="s">
        <v>42</v>
      </c>
      <c r="E38" s="16">
        <v>16</v>
      </c>
      <c r="F38" s="16">
        <v>16</v>
      </c>
      <c r="G38" s="16">
        <v>43</v>
      </c>
      <c r="H38" s="16">
        <f>Tabla28[[#This Row],[P1 + P4]]+Tabla28[[#This Row],[P2 + P5]]</f>
        <v>32</v>
      </c>
      <c r="I38" s="16">
        <f>Tabla28[[#This Row],[P3 + P6]]</f>
        <v>43</v>
      </c>
    </row>
    <row r="39" spans="1:9">
      <c r="A39" s="17">
        <v>44934</v>
      </c>
      <c r="B39" s="16" t="s">
        <v>372</v>
      </c>
      <c r="C39" s="16">
        <v>27</v>
      </c>
      <c r="D39" s="16" t="s">
        <v>42</v>
      </c>
      <c r="E39" s="16">
        <v>17</v>
      </c>
      <c r="F39" s="16">
        <v>17</v>
      </c>
      <c r="G39" s="16">
        <v>34</v>
      </c>
      <c r="H39" s="16">
        <f>Tabla28[[#This Row],[P1 + P4]]+Tabla28[[#This Row],[P2 + P5]]</f>
        <v>34</v>
      </c>
      <c r="I39" s="16">
        <f>Tabla28[[#This Row],[P3 + P6]]</f>
        <v>34</v>
      </c>
    </row>
    <row r="40" spans="1:9">
      <c r="A40" s="17">
        <v>44961</v>
      </c>
      <c r="B40" s="16" t="s">
        <v>370</v>
      </c>
      <c r="C40" s="16">
        <v>28</v>
      </c>
      <c r="D40" s="16" t="s">
        <v>42</v>
      </c>
      <c r="E40" s="16">
        <v>17</v>
      </c>
      <c r="F40" s="16">
        <v>16</v>
      </c>
      <c r="G40" s="16">
        <v>36</v>
      </c>
      <c r="H40" s="16">
        <f>Tabla28[[#This Row],[P1 + P4]]+Tabla28[[#This Row],[P2 + P5]]</f>
        <v>33</v>
      </c>
      <c r="I40" s="16">
        <f>Tabla28[[#This Row],[P3 + P6]]</f>
        <v>36</v>
      </c>
    </row>
    <row r="41" spans="1:9">
      <c r="A41" s="17">
        <v>44989</v>
      </c>
      <c r="B41" s="16" t="s">
        <v>371</v>
      </c>
      <c r="C41" s="16">
        <v>35</v>
      </c>
      <c r="D41" s="16" t="s">
        <v>42</v>
      </c>
      <c r="E41" s="16">
        <v>20</v>
      </c>
      <c r="F41" s="16">
        <v>20</v>
      </c>
      <c r="G41" s="16">
        <v>45</v>
      </c>
      <c r="H41" s="16">
        <f>Tabla28[[#This Row],[P1 + P4]]+Tabla28[[#This Row],[P2 + P5]]</f>
        <v>40</v>
      </c>
      <c r="I41" s="16">
        <f>Tabla28[[#This Row],[P3 + P6]]</f>
        <v>45</v>
      </c>
    </row>
    <row r="44" spans="1:9">
      <c r="A44" s="16" t="s">
        <v>77</v>
      </c>
    </row>
    <row r="46" spans="1:9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9">
      <c r="A47" s="16" t="s">
        <v>370</v>
      </c>
      <c r="B47" s="16" t="s">
        <v>371</v>
      </c>
      <c r="C47" s="16">
        <v>35</v>
      </c>
      <c r="D47" s="16" t="s">
        <v>42</v>
      </c>
      <c r="E47" s="16">
        <v>0</v>
      </c>
      <c r="F47" s="16">
        <v>0</v>
      </c>
      <c r="G47" s="16">
        <v>0</v>
      </c>
    </row>
    <row r="48" spans="1:9">
      <c r="A48" s="16" t="s">
        <v>372</v>
      </c>
      <c r="B48" s="16" t="s">
        <v>370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373</v>
      </c>
      <c r="B49" s="16" t="s">
        <v>372</v>
      </c>
      <c r="C49" s="16">
        <v>27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374</v>
      </c>
      <c r="B50" s="16" t="s">
        <v>373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375</v>
      </c>
      <c r="B51" s="16" t="s">
        <v>374</v>
      </c>
      <c r="C51" s="16">
        <v>33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376</v>
      </c>
      <c r="B52" s="16" t="s">
        <v>375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294</v>
      </c>
      <c r="B53" s="16" t="s">
        <v>376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377</v>
      </c>
      <c r="B54" s="16" t="s">
        <v>294</v>
      </c>
      <c r="C54" s="16">
        <v>33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378</v>
      </c>
      <c r="B55" s="16" t="s">
        <v>377</v>
      </c>
      <c r="C55" s="16">
        <v>28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322</v>
      </c>
      <c r="B56" s="16" t="s">
        <v>378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379</v>
      </c>
      <c r="B57" s="16" t="s">
        <v>322</v>
      </c>
      <c r="C57" s="16">
        <v>37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380</v>
      </c>
      <c r="B58" s="16" t="s">
        <v>379</v>
      </c>
      <c r="C58" s="16">
        <v>22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380</v>
      </c>
      <c r="C59" s="16">
        <v>7</v>
      </c>
      <c r="D59" s="16" t="s">
        <v>42</v>
      </c>
      <c r="E59" s="16">
        <v>0</v>
      </c>
      <c r="F59" s="16">
        <v>4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3</v>
      </c>
      <c r="G60" s="16">
        <v>5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125</v>
      </c>
      <c r="F61" s="16">
        <v>79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14</v>
      </c>
      <c r="F62" s="16">
        <v>3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112</v>
      </c>
      <c r="F63" s="16">
        <v>64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18</v>
      </c>
      <c r="F64" s="16">
        <v>13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117</v>
      </c>
      <c r="G65" s="16">
        <v>92</v>
      </c>
    </row>
    <row r="66" spans="1:7">
      <c r="A66" s="16" t="s">
        <v>55</v>
      </c>
      <c r="B66" s="16" t="s">
        <v>57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54</v>
      </c>
      <c r="B67" s="16" t="s">
        <v>55</v>
      </c>
      <c r="C67" s="16">
        <v>30</v>
      </c>
      <c r="D67" s="16" t="s">
        <v>42</v>
      </c>
      <c r="E67" s="16">
        <v>45</v>
      </c>
      <c r="F67" s="16">
        <v>0</v>
      </c>
      <c r="G67" s="16">
        <v>79</v>
      </c>
    </row>
    <row r="68" spans="1:7">
      <c r="A68" s="16" t="s">
        <v>53</v>
      </c>
      <c r="B68" s="16" t="s">
        <v>54</v>
      </c>
      <c r="C68" s="16">
        <v>31</v>
      </c>
      <c r="D68" s="16" t="s">
        <v>42</v>
      </c>
      <c r="E68" s="16">
        <v>62</v>
      </c>
      <c r="F68" s="16">
        <v>0</v>
      </c>
      <c r="G68" s="16">
        <v>246</v>
      </c>
    </row>
    <row r="69" spans="1:7">
      <c r="A69" s="16" t="s">
        <v>52</v>
      </c>
      <c r="B69" s="16" t="s">
        <v>53</v>
      </c>
      <c r="C69" s="16">
        <v>31</v>
      </c>
      <c r="D69" s="16" t="s">
        <v>42</v>
      </c>
      <c r="E69" s="16">
        <v>236</v>
      </c>
      <c r="F69" s="16">
        <v>67</v>
      </c>
      <c r="G69" s="16">
        <v>0</v>
      </c>
    </row>
    <row r="70" spans="1:7">
      <c r="A70" s="16" t="s">
        <v>51</v>
      </c>
      <c r="B70" s="16" t="s">
        <v>52</v>
      </c>
      <c r="C70" s="16">
        <v>30</v>
      </c>
      <c r="D70" s="16" t="s">
        <v>42</v>
      </c>
      <c r="E70" s="16">
        <v>16</v>
      </c>
      <c r="F70" s="16">
        <v>0</v>
      </c>
      <c r="G70" s="16">
        <v>59</v>
      </c>
    </row>
    <row r="71" spans="1:7">
      <c r="A71" s="16" t="s">
        <v>50</v>
      </c>
      <c r="B71" s="16" t="s">
        <v>51</v>
      </c>
      <c r="C71" s="16">
        <v>31</v>
      </c>
      <c r="D71" s="16" t="s">
        <v>42</v>
      </c>
      <c r="E71" s="16">
        <v>27</v>
      </c>
      <c r="F71" s="16">
        <v>68</v>
      </c>
      <c r="G71" s="16">
        <v>30</v>
      </c>
    </row>
    <row r="72" spans="1:7">
      <c r="A72" s="16" t="s">
        <v>136</v>
      </c>
      <c r="B72" s="16" t="s">
        <v>50</v>
      </c>
      <c r="C72" s="16">
        <v>25</v>
      </c>
      <c r="D72" s="16" t="s">
        <v>42</v>
      </c>
      <c r="E72" s="16">
        <v>64</v>
      </c>
      <c r="F72" s="16">
        <v>165</v>
      </c>
      <c r="G72" s="16">
        <v>75</v>
      </c>
    </row>
    <row r="73" spans="1:7">
      <c r="A73" s="16" t="s">
        <v>47</v>
      </c>
      <c r="B73" s="16" t="s">
        <v>136</v>
      </c>
      <c r="C73" s="16">
        <v>36</v>
      </c>
      <c r="D73" s="16" t="s">
        <v>42</v>
      </c>
      <c r="E73" s="16">
        <v>25</v>
      </c>
      <c r="F73" s="16">
        <v>485</v>
      </c>
      <c r="G73" s="16">
        <v>12</v>
      </c>
    </row>
    <row r="74" spans="1:7">
      <c r="A74" s="16" t="s">
        <v>46</v>
      </c>
      <c r="B74" s="16" t="s">
        <v>47</v>
      </c>
      <c r="C74" s="16">
        <v>28</v>
      </c>
      <c r="D74" s="16" t="s">
        <v>42</v>
      </c>
      <c r="E74" s="16">
        <v>7</v>
      </c>
      <c r="F74" s="16">
        <v>490</v>
      </c>
      <c r="G74" s="16">
        <v>8</v>
      </c>
    </row>
    <row r="75" spans="1:7">
      <c r="A75" s="16" t="s">
        <v>45</v>
      </c>
      <c r="B75" s="16" t="s">
        <v>46</v>
      </c>
      <c r="C75" s="16">
        <v>31</v>
      </c>
      <c r="D75" s="16" t="s">
        <v>42</v>
      </c>
      <c r="E75" s="16">
        <v>12</v>
      </c>
      <c r="F75" s="16">
        <v>588</v>
      </c>
      <c r="G75" s="16">
        <v>9</v>
      </c>
    </row>
    <row r="76" spans="1:7">
      <c r="A76" s="16" t="s">
        <v>44</v>
      </c>
      <c r="B76" s="16" t="s">
        <v>45</v>
      </c>
      <c r="C76" s="16">
        <v>31</v>
      </c>
      <c r="D76" s="16" t="s">
        <v>42</v>
      </c>
      <c r="E76" s="16">
        <v>7</v>
      </c>
      <c r="F76" s="16">
        <v>617</v>
      </c>
      <c r="G76" s="16">
        <v>12</v>
      </c>
    </row>
    <row r="77" spans="1:7">
      <c r="A77" s="16" t="s">
        <v>43</v>
      </c>
      <c r="B77" s="16" t="s">
        <v>44</v>
      </c>
      <c r="C77" s="16">
        <v>30</v>
      </c>
      <c r="D77" s="16" t="s">
        <v>42</v>
      </c>
      <c r="E77" s="16">
        <v>7</v>
      </c>
      <c r="F77" s="16">
        <v>351</v>
      </c>
      <c r="G77" s="16">
        <v>6</v>
      </c>
    </row>
    <row r="78" spans="1:7">
      <c r="A78" s="16" t="s">
        <v>41</v>
      </c>
      <c r="B78" s="16" t="s">
        <v>43</v>
      </c>
      <c r="C78" s="16">
        <v>31</v>
      </c>
      <c r="D78" s="16" t="s">
        <v>42</v>
      </c>
      <c r="E78" s="16">
        <v>30</v>
      </c>
      <c r="F78" s="16">
        <v>140</v>
      </c>
      <c r="G78" s="16">
        <v>5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87</v>
      </c>
      <c r="F79" s="16">
        <v>147</v>
      </c>
      <c r="G79" s="16">
        <v>7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252</v>
      </c>
      <c r="F80" s="16">
        <v>249</v>
      </c>
      <c r="G80" s="16">
        <v>14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329</v>
      </c>
      <c r="F81" s="16">
        <v>368</v>
      </c>
      <c r="G81" s="16">
        <v>16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3.464</v>
      </c>
      <c r="C87" s="16">
        <v>3.464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370</v>
      </c>
      <c r="B89" s="16" t="s">
        <v>371</v>
      </c>
      <c r="C89" s="16">
        <v>35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372</v>
      </c>
      <c r="B90" s="16" t="s">
        <v>370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373</v>
      </c>
      <c r="B91" s="16" t="s">
        <v>372</v>
      </c>
      <c r="C91" s="16">
        <v>27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374</v>
      </c>
      <c r="B92" s="16" t="s">
        <v>373</v>
      </c>
      <c r="C92" s="16">
        <v>31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375</v>
      </c>
      <c r="B93" s="16" t="s">
        <v>374</v>
      </c>
      <c r="C93" s="16">
        <v>33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376</v>
      </c>
      <c r="B94" s="16" t="s">
        <v>375</v>
      </c>
      <c r="C94" s="16">
        <v>31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294</v>
      </c>
      <c r="B95" s="16" t="s">
        <v>376</v>
      </c>
      <c r="C95" s="16">
        <v>30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377</v>
      </c>
      <c r="B96" s="16" t="s">
        <v>294</v>
      </c>
      <c r="C96" s="16">
        <v>33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378</v>
      </c>
      <c r="B97" s="16" t="s">
        <v>377</v>
      </c>
      <c r="C97" s="16">
        <v>28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322</v>
      </c>
      <c r="B98" s="16" t="s">
        <v>378</v>
      </c>
      <c r="C98" s="16">
        <v>31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379</v>
      </c>
      <c r="B99" s="16" t="s">
        <v>322</v>
      </c>
      <c r="C99" s="16">
        <v>37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380</v>
      </c>
      <c r="B100" s="16" t="s">
        <v>379</v>
      </c>
      <c r="C100" s="16">
        <v>22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63</v>
      </c>
      <c r="B101" s="16" t="s">
        <v>380</v>
      </c>
      <c r="C101" s="16">
        <v>7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62</v>
      </c>
      <c r="B102" s="16" t="s">
        <v>63</v>
      </c>
      <c r="C102" s="16">
        <v>31</v>
      </c>
      <c r="D102" s="16" t="s">
        <v>42</v>
      </c>
      <c r="E102" s="16">
        <v>0</v>
      </c>
      <c r="F102" s="16">
        <v>1</v>
      </c>
      <c r="G102" s="16">
        <v>0</v>
      </c>
    </row>
    <row r="103" spans="1:7">
      <c r="A103" s="16" t="s">
        <v>61</v>
      </c>
      <c r="B103" s="16" t="s">
        <v>62</v>
      </c>
      <c r="C103" s="16">
        <v>28</v>
      </c>
      <c r="D103" s="16" t="s">
        <v>42</v>
      </c>
      <c r="E103" s="16">
        <v>6</v>
      </c>
      <c r="F103" s="16">
        <v>5</v>
      </c>
      <c r="G103" s="16">
        <v>5</v>
      </c>
    </row>
    <row r="104" spans="1:7">
      <c r="A104" s="16" t="s">
        <v>60</v>
      </c>
      <c r="B104" s="16" t="s">
        <v>61</v>
      </c>
      <c r="C104" s="16">
        <v>31</v>
      </c>
      <c r="D104" s="16" t="s">
        <v>42</v>
      </c>
      <c r="E104" s="16">
        <v>5</v>
      </c>
      <c r="F104" s="16">
        <v>6</v>
      </c>
      <c r="G104" s="16">
        <v>5</v>
      </c>
    </row>
    <row r="105" spans="1:7">
      <c r="A105" s="16" t="s">
        <v>59</v>
      </c>
      <c r="B105" s="16" t="s">
        <v>60</v>
      </c>
      <c r="C105" s="16">
        <v>29</v>
      </c>
      <c r="D105" s="16" t="s">
        <v>42</v>
      </c>
      <c r="E105" s="16">
        <v>6</v>
      </c>
      <c r="F105" s="16">
        <v>6</v>
      </c>
      <c r="G105" s="16">
        <v>2</v>
      </c>
    </row>
    <row r="106" spans="1:7">
      <c r="A106" s="16" t="s">
        <v>58</v>
      </c>
      <c r="B106" s="16" t="s">
        <v>59</v>
      </c>
      <c r="C106" s="16">
        <v>2</v>
      </c>
      <c r="D106" s="16" t="s">
        <v>42</v>
      </c>
      <c r="E106" s="16">
        <v>19.72</v>
      </c>
      <c r="F106" s="16">
        <v>19.72</v>
      </c>
      <c r="G106" s="16">
        <v>19.72</v>
      </c>
    </row>
    <row r="107" spans="1:7">
      <c r="A107" s="16" t="s">
        <v>57</v>
      </c>
      <c r="B107" s="16" t="s">
        <v>58</v>
      </c>
      <c r="C107" s="16">
        <v>30</v>
      </c>
      <c r="D107" s="16" t="s">
        <v>42</v>
      </c>
      <c r="E107" s="16">
        <v>19.72</v>
      </c>
      <c r="F107" s="16">
        <v>19.72</v>
      </c>
      <c r="G107" s="16">
        <v>19.72</v>
      </c>
    </row>
    <row r="108" spans="1:7">
      <c r="A108" s="16" t="s">
        <v>55</v>
      </c>
      <c r="B108" s="16" t="s">
        <v>57</v>
      </c>
      <c r="C108" s="16">
        <v>31</v>
      </c>
      <c r="D108" s="16" t="s">
        <v>42</v>
      </c>
      <c r="E108" s="16">
        <v>19.72</v>
      </c>
      <c r="F108" s="16">
        <v>19.72</v>
      </c>
      <c r="G108" s="16">
        <v>19.72</v>
      </c>
    </row>
    <row r="109" spans="1:7">
      <c r="A109" s="16" t="s">
        <v>54</v>
      </c>
      <c r="B109" s="16" t="s">
        <v>55</v>
      </c>
      <c r="C109" s="16">
        <v>30</v>
      </c>
      <c r="D109" s="16" t="s">
        <v>42</v>
      </c>
      <c r="E109" s="16">
        <v>19.72</v>
      </c>
      <c r="F109" s="16">
        <v>19.72</v>
      </c>
      <c r="G109" s="16">
        <v>19.72</v>
      </c>
    </row>
    <row r="110" spans="1:7">
      <c r="A110" s="16" t="s">
        <v>53</v>
      </c>
      <c r="B110" s="16" t="s">
        <v>54</v>
      </c>
      <c r="C110" s="16">
        <v>31</v>
      </c>
      <c r="D110" s="16" t="s">
        <v>42</v>
      </c>
      <c r="E110" s="16">
        <v>19.72</v>
      </c>
      <c r="F110" s="16">
        <v>19.72</v>
      </c>
      <c r="G110" s="16">
        <v>19.72</v>
      </c>
    </row>
    <row r="111" spans="1:7">
      <c r="A111" s="16" t="s">
        <v>52</v>
      </c>
      <c r="B111" s="16" t="s">
        <v>53</v>
      </c>
      <c r="C111" s="16">
        <v>31</v>
      </c>
      <c r="D111" s="16" t="s">
        <v>42</v>
      </c>
      <c r="E111" s="16">
        <v>19.72</v>
      </c>
      <c r="F111" s="16">
        <v>19.72</v>
      </c>
      <c r="G111" s="16">
        <v>19.72</v>
      </c>
    </row>
    <row r="112" spans="1:7">
      <c r="A112" s="16" t="s">
        <v>51</v>
      </c>
      <c r="B112" s="16" t="s">
        <v>52</v>
      </c>
      <c r="C112" s="16">
        <v>30</v>
      </c>
      <c r="D112" s="16" t="s">
        <v>42</v>
      </c>
      <c r="E112" s="16">
        <v>19.72</v>
      </c>
      <c r="F112" s="16">
        <v>19.72</v>
      </c>
      <c r="G112" s="16">
        <v>19.72</v>
      </c>
    </row>
    <row r="113" spans="1:7">
      <c r="A113" s="16" t="s">
        <v>50</v>
      </c>
      <c r="B113" s="16" t="s">
        <v>51</v>
      </c>
      <c r="C113" s="16">
        <v>31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136</v>
      </c>
      <c r="B114" s="16" t="s">
        <v>50</v>
      </c>
      <c r="C114" s="16">
        <v>25</v>
      </c>
      <c r="D114" s="16" t="s">
        <v>42</v>
      </c>
      <c r="E114" s="16">
        <v>1</v>
      </c>
      <c r="F114" s="16">
        <v>1</v>
      </c>
      <c r="G114" s="16">
        <v>0</v>
      </c>
    </row>
    <row r="115" spans="1:7">
      <c r="A115" s="16" t="s">
        <v>47</v>
      </c>
      <c r="B115" s="16" t="s">
        <v>136</v>
      </c>
      <c r="C115" s="16">
        <v>36</v>
      </c>
      <c r="D115" s="16" t="s">
        <v>42</v>
      </c>
      <c r="E115" s="16">
        <v>4</v>
      </c>
      <c r="F115" s="16">
        <v>6</v>
      </c>
      <c r="G115" s="16">
        <v>2</v>
      </c>
    </row>
    <row r="116" spans="1:7">
      <c r="A116" s="16" t="s">
        <v>46</v>
      </c>
      <c r="B116" s="16" t="s">
        <v>47</v>
      </c>
      <c r="C116" s="16">
        <v>28</v>
      </c>
      <c r="D116" s="16" t="s">
        <v>42</v>
      </c>
      <c r="E116" s="16">
        <v>3</v>
      </c>
      <c r="F116" s="16">
        <v>6</v>
      </c>
      <c r="G116" s="16">
        <v>2</v>
      </c>
    </row>
    <row r="117" spans="1:7">
      <c r="A117" s="16" t="s">
        <v>45</v>
      </c>
      <c r="B117" s="16" t="s">
        <v>46</v>
      </c>
      <c r="C117" s="16">
        <v>31</v>
      </c>
      <c r="D117" s="16" t="s">
        <v>42</v>
      </c>
      <c r="E117" s="16">
        <v>5</v>
      </c>
      <c r="F117" s="16">
        <v>7</v>
      </c>
      <c r="G117" s="16">
        <v>5</v>
      </c>
    </row>
    <row r="118" spans="1:7">
      <c r="A118" s="16" t="s">
        <v>44</v>
      </c>
      <c r="B118" s="16" t="s">
        <v>45</v>
      </c>
      <c r="C118" s="16">
        <v>31</v>
      </c>
      <c r="D118" s="16" t="s">
        <v>42</v>
      </c>
      <c r="E118" s="16">
        <v>3</v>
      </c>
      <c r="F118" s="16">
        <v>6</v>
      </c>
      <c r="G118" s="16">
        <v>5</v>
      </c>
    </row>
    <row r="119" spans="1:7">
      <c r="A119" s="16" t="s">
        <v>43</v>
      </c>
      <c r="B119" s="16" t="s">
        <v>44</v>
      </c>
      <c r="C119" s="16">
        <v>30</v>
      </c>
      <c r="D119" s="16" t="s">
        <v>42</v>
      </c>
      <c r="E119" s="16">
        <v>2</v>
      </c>
      <c r="F119" s="16">
        <v>6</v>
      </c>
      <c r="G119" s="16">
        <v>3</v>
      </c>
    </row>
    <row r="120" spans="1:7">
      <c r="A120" s="16" t="s">
        <v>41</v>
      </c>
      <c r="B120" s="16" t="s">
        <v>43</v>
      </c>
      <c r="C120" s="16">
        <v>31</v>
      </c>
      <c r="D120" s="16" t="s">
        <v>42</v>
      </c>
      <c r="E120" s="16">
        <v>4</v>
      </c>
      <c r="F120" s="16">
        <v>6</v>
      </c>
      <c r="G120" s="16">
        <v>3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5</v>
      </c>
      <c r="F121" s="16">
        <v>5</v>
      </c>
      <c r="G121" s="16">
        <v>5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6</v>
      </c>
      <c r="F122" s="16">
        <v>6</v>
      </c>
      <c r="G122" s="16">
        <v>5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6</v>
      </c>
      <c r="F123" s="16">
        <v>6</v>
      </c>
      <c r="G123" s="16">
        <v>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77198-4FC5-4187-B156-BFD552591843}">
  <dimension ref="A1:N123"/>
  <sheetViews>
    <sheetView workbookViewId="0">
      <selection activeCell="H25" sqref="H25:N25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97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2526</v>
      </c>
      <c r="C4" s="16">
        <v>2278</v>
      </c>
      <c r="D4" s="16">
        <v>1188</v>
      </c>
    </row>
    <row r="5" spans="1:14">
      <c r="A5" s="16" t="s">
        <v>36</v>
      </c>
      <c r="B5" s="16">
        <v>42</v>
      </c>
      <c r="C5" s="16">
        <v>38</v>
      </c>
      <c r="D5" s="16">
        <v>20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 hidden="1">
      <c r="A7" s="17">
        <v>44034</v>
      </c>
      <c r="B7" s="17">
        <v>44067</v>
      </c>
      <c r="C7" s="16">
        <v>33</v>
      </c>
      <c r="D7" s="16" t="s">
        <v>42</v>
      </c>
      <c r="E7" s="16">
        <v>274</v>
      </c>
      <c r="F7" s="16">
        <v>0</v>
      </c>
      <c r="G7" s="16">
        <v>0</v>
      </c>
      <c r="H7" s="16">
        <f>Tabla7[[#This Row],[P1 + P4]]*VLOOKUP(MONTH(Tabla7[[#This Row],[Fecha final]]),Tabla20[#All],2,FALSE)</f>
        <v>0</v>
      </c>
      <c r="I7" s="16">
        <f>Tabla7[[#This Row],[P2 + P5]]*VLOOKUP(MONTH(Tabla7[[#This Row],[Fecha final]]),Tabla20[#All],3,FALSE)</f>
        <v>0</v>
      </c>
      <c r="J7" s="16">
        <f>(Tabla7[[#This Row],[P3 + P6]])*VLOOKUP(MONTH(Tabla7[[#This Row],[Fecha final]]),Tabla20[#All],4,FALSE)</f>
        <v>0</v>
      </c>
      <c r="K7" s="16">
        <f>Tabla7[[#This Row],[P1 + P4]]*VLOOKUP(MONTH(Tabla7[[#This Row],[Fecha final]]),Tabla20[#All],5,FALSE)</f>
        <v>274</v>
      </c>
      <c r="L7" s="16">
        <f>Tabla7[[#This Row],[P2 + P5]]*VLOOKUP(MONTH(Tabla7[[#This Row],[Fecha final]]),Tabla20[#All],6,FALSE)</f>
        <v>0</v>
      </c>
      <c r="M7" s="16">
        <f>Tabla7[[#This Row],[P3 + P6]]*VLOOKUP(MONTH(Tabla7[[#This Row],[Fecha final]]),Tabla20[#All],7,FALSE)</f>
        <v>0</v>
      </c>
      <c r="N7" s="16">
        <f>YEAR(Tabla7[[#This Row],[Fecha final]])</f>
        <v>2020</v>
      </c>
    </row>
    <row r="8" spans="1:14" hidden="1">
      <c r="A8" s="17">
        <v>44067</v>
      </c>
      <c r="B8" s="17">
        <v>44098</v>
      </c>
      <c r="C8" s="16">
        <v>31</v>
      </c>
      <c r="D8" s="16" t="s">
        <v>42</v>
      </c>
      <c r="E8" s="16">
        <v>339</v>
      </c>
      <c r="F8" s="16">
        <v>0</v>
      </c>
      <c r="G8" s="16">
        <v>0</v>
      </c>
      <c r="H8" s="16">
        <f>Tabla7[[#This Row],[P1 + P4]]*VLOOKUP(MONTH(Tabla7[[#This Row],[Fecha final]]),Tabla20[#All],2,FALSE)</f>
        <v>0</v>
      </c>
      <c r="I8" s="16">
        <f>Tabla7[[#This Row],[P2 + P5]]*VLOOKUP(MONTH(Tabla7[[#This Row],[Fecha final]]),Tabla20[#All],3,FALSE)</f>
        <v>0</v>
      </c>
      <c r="J8" s="16">
        <f>(Tabla7[[#This Row],[P3 + P6]])*VLOOKUP(MONTH(Tabla7[[#This Row],[Fecha final]]),Tabla20[#All],4,FALSE)</f>
        <v>0</v>
      </c>
      <c r="K8" s="16">
        <f>Tabla7[[#This Row],[P1 + P4]]*VLOOKUP(MONTH(Tabla7[[#This Row],[Fecha final]]),Tabla20[#All],5,FALSE)</f>
        <v>339</v>
      </c>
      <c r="L8" s="16">
        <f>Tabla7[[#This Row],[P2 + P5]]*VLOOKUP(MONTH(Tabla7[[#This Row],[Fecha final]]),Tabla20[#All],6,FALSE)</f>
        <v>0</v>
      </c>
      <c r="M8" s="16">
        <f>Tabla7[[#This Row],[P3 + P6]]*VLOOKUP(MONTH(Tabla7[[#This Row],[Fecha final]]),Tabla20[#All],7,FALSE)</f>
        <v>0</v>
      </c>
      <c r="N8" s="16">
        <f>YEAR(Tabla7[[#This Row],[Fecha final]])</f>
        <v>2020</v>
      </c>
    </row>
    <row r="9" spans="1:14" hidden="1">
      <c r="A9" s="17">
        <v>44098</v>
      </c>
      <c r="B9" s="17">
        <v>44130</v>
      </c>
      <c r="C9" s="16">
        <v>32</v>
      </c>
      <c r="D9" s="16" t="s">
        <v>42</v>
      </c>
      <c r="E9" s="16">
        <v>343</v>
      </c>
      <c r="F9" s="16">
        <v>0</v>
      </c>
      <c r="G9" s="16">
        <v>0</v>
      </c>
      <c r="H9" s="16">
        <f>Tabla7[[#This Row],[P1 + P4]]*VLOOKUP(MONTH(Tabla7[[#This Row],[Fecha final]]),Tabla20[#All],2,FALSE)</f>
        <v>0</v>
      </c>
      <c r="I9" s="16">
        <f>Tabla7[[#This Row],[P2 + P5]]*VLOOKUP(MONTH(Tabla7[[#This Row],[Fecha final]]),Tabla20[#All],3,FALSE)</f>
        <v>0</v>
      </c>
      <c r="J9" s="16">
        <f>(Tabla7[[#This Row],[P3 + P6]])*VLOOKUP(MONTH(Tabla7[[#This Row],[Fecha final]]),Tabla20[#All],4,FALSE)</f>
        <v>0</v>
      </c>
      <c r="K9" s="16">
        <f>Tabla7[[#This Row],[P1 + P4]]*VLOOKUP(MONTH(Tabla7[[#This Row],[Fecha final]]),Tabla20[#All],5,FALSE)</f>
        <v>343</v>
      </c>
      <c r="L9" s="16">
        <f>Tabla7[[#This Row],[P2 + P5]]*VLOOKUP(MONTH(Tabla7[[#This Row],[Fecha final]]),Tabla20[#All],6,FALSE)</f>
        <v>0</v>
      </c>
      <c r="M9" s="16">
        <f>Tabla7[[#This Row],[P3 + P6]]*VLOOKUP(MONTH(Tabla7[[#This Row],[Fecha final]]),Tabla20[#All],7,FALSE)</f>
        <v>0</v>
      </c>
      <c r="N9" s="16">
        <f>YEAR(Tabla7[[#This Row],[Fecha final]])</f>
        <v>2020</v>
      </c>
    </row>
    <row r="10" spans="1:14" hidden="1">
      <c r="A10" s="17">
        <v>44130</v>
      </c>
      <c r="B10" s="17">
        <v>44159</v>
      </c>
      <c r="C10" s="16">
        <v>29</v>
      </c>
      <c r="D10" s="16" t="s">
        <v>42</v>
      </c>
      <c r="E10" s="16">
        <v>462</v>
      </c>
      <c r="F10" s="16">
        <v>0</v>
      </c>
      <c r="G10" s="16">
        <v>0</v>
      </c>
      <c r="H10" s="16">
        <f>Tabla7[[#This Row],[P1 + P4]]*VLOOKUP(MONTH(Tabla7[[#This Row],[Fecha final]]),Tabla20[#All],2,FALSE)</f>
        <v>0</v>
      </c>
      <c r="I10" s="16">
        <f>Tabla7[[#This Row],[P2 + P5]]*VLOOKUP(MONTH(Tabla7[[#This Row],[Fecha final]]),Tabla20[#All],3,FALSE)</f>
        <v>0</v>
      </c>
      <c r="J10" s="16">
        <f>(Tabla7[[#This Row],[P3 + P6]])*VLOOKUP(MONTH(Tabla7[[#This Row],[Fecha final]]),Tabla20[#All],4,FALSE)</f>
        <v>0</v>
      </c>
      <c r="K10" s="16">
        <f>Tabla7[[#This Row],[P1 + P4]]*VLOOKUP(MONTH(Tabla7[[#This Row],[Fecha final]]),Tabla20[#All],5,FALSE)</f>
        <v>0</v>
      </c>
      <c r="L10" s="16">
        <f>Tabla7[[#This Row],[P2 + P5]]*VLOOKUP(MONTH(Tabla7[[#This Row],[Fecha final]]),Tabla20[#All],6,FALSE)</f>
        <v>0</v>
      </c>
      <c r="M10" s="16">
        <f>Tabla7[[#This Row],[P3 + P6]]*VLOOKUP(MONTH(Tabla7[[#This Row],[Fecha final]]),Tabla20[#All],7,FALSE)</f>
        <v>0</v>
      </c>
      <c r="N10" s="16">
        <f>YEAR(Tabla7[[#This Row],[Fecha final]])</f>
        <v>2020</v>
      </c>
    </row>
    <row r="11" spans="1:14" hidden="1">
      <c r="A11" s="17">
        <v>44159</v>
      </c>
      <c r="B11" s="17">
        <v>44192</v>
      </c>
      <c r="C11" s="16">
        <v>33</v>
      </c>
      <c r="D11" s="16" t="s">
        <v>42</v>
      </c>
      <c r="E11" s="16">
        <v>745</v>
      </c>
      <c r="F11" s="16">
        <v>0</v>
      </c>
      <c r="G11" s="16">
        <v>0</v>
      </c>
      <c r="H11" s="16">
        <f>Tabla7[[#This Row],[P1 + P4]]*VLOOKUP(MONTH(Tabla7[[#This Row],[Fecha final]]),Tabla20[#All],2,FALSE)</f>
        <v>745</v>
      </c>
      <c r="I11" s="16">
        <f>Tabla7[[#This Row],[P2 + P5]]*VLOOKUP(MONTH(Tabla7[[#This Row],[Fecha final]]),Tabla20[#All],3,FALSE)</f>
        <v>0</v>
      </c>
      <c r="J11" s="16">
        <f>(Tabla7[[#This Row],[P3 + P6]])*VLOOKUP(MONTH(Tabla7[[#This Row],[Fecha final]]),Tabla20[#All],4,FALSE)</f>
        <v>0</v>
      </c>
      <c r="K11" s="16">
        <f>Tabla7[[#This Row],[P1 + P4]]*VLOOKUP(MONTH(Tabla7[[#This Row],[Fecha final]]),Tabla20[#All],5,FALSE)</f>
        <v>0</v>
      </c>
      <c r="L11" s="16">
        <f>Tabla7[[#This Row],[P2 + P5]]*VLOOKUP(MONTH(Tabla7[[#This Row],[Fecha final]]),Tabla20[#All],6,FALSE)</f>
        <v>0</v>
      </c>
      <c r="M11" s="16">
        <f>Tabla7[[#This Row],[P3 + P6]]*VLOOKUP(MONTH(Tabla7[[#This Row],[Fecha final]]),Tabla20[#All],7,FALSE)</f>
        <v>0</v>
      </c>
      <c r="N11" s="16">
        <f>YEAR(Tabla7[[#This Row],[Fecha final]])</f>
        <v>2020</v>
      </c>
    </row>
    <row r="12" spans="1:14" hidden="1">
      <c r="A12" s="17">
        <v>44192</v>
      </c>
      <c r="B12" s="17">
        <v>44223</v>
      </c>
      <c r="C12" s="16">
        <v>31</v>
      </c>
      <c r="D12" s="16" t="s">
        <v>42</v>
      </c>
      <c r="E12" s="16">
        <v>909</v>
      </c>
      <c r="F12" s="16">
        <v>0</v>
      </c>
      <c r="G12" s="16">
        <v>0</v>
      </c>
      <c r="H12" s="16">
        <f>Tabla7[[#This Row],[P1 + P4]]*VLOOKUP(MONTH(Tabla7[[#This Row],[Fecha final]]),Tabla20[#All],2,FALSE)</f>
        <v>909</v>
      </c>
      <c r="I12" s="16">
        <f>Tabla7[[#This Row],[P2 + P5]]*VLOOKUP(MONTH(Tabla7[[#This Row],[Fecha final]]),Tabla20[#All],3,FALSE)</f>
        <v>0</v>
      </c>
      <c r="J12" s="16">
        <f>(Tabla7[[#This Row],[P3 + P6]])*VLOOKUP(MONTH(Tabla7[[#This Row],[Fecha final]]),Tabla20[#All],4,FALSE)</f>
        <v>0</v>
      </c>
      <c r="K12" s="16">
        <f>Tabla7[[#This Row],[P1 + P4]]*VLOOKUP(MONTH(Tabla7[[#This Row],[Fecha final]]),Tabla20[#All],5,FALSE)</f>
        <v>0</v>
      </c>
      <c r="L12" s="16">
        <f>Tabla7[[#This Row],[P2 + P5]]*VLOOKUP(MONTH(Tabla7[[#This Row],[Fecha final]]),Tabla20[#All],6,FALSE)</f>
        <v>0</v>
      </c>
      <c r="M12" s="16">
        <f>Tabla7[[#This Row],[P3 + P6]]*VLOOKUP(MONTH(Tabla7[[#This Row],[Fecha final]]),Tabla20[#All],7,FALSE)</f>
        <v>0</v>
      </c>
      <c r="N12" s="16">
        <f>YEAR(Tabla7[[#This Row],[Fecha final]])</f>
        <v>2021</v>
      </c>
    </row>
    <row r="13" spans="1:14" hidden="1">
      <c r="A13" s="17">
        <v>44223</v>
      </c>
      <c r="B13" s="17">
        <v>44250</v>
      </c>
      <c r="C13" s="16">
        <v>27</v>
      </c>
      <c r="D13" s="16" t="s">
        <v>42</v>
      </c>
      <c r="E13" s="16">
        <v>801</v>
      </c>
      <c r="F13" s="16">
        <v>0</v>
      </c>
      <c r="G13" s="16">
        <v>0</v>
      </c>
      <c r="H13" s="16">
        <f>Tabla7[[#This Row],[P1 + P4]]*VLOOKUP(MONTH(Tabla7[[#This Row],[Fecha final]]),Tabla20[#All],2,FALSE)</f>
        <v>801</v>
      </c>
      <c r="I13" s="16">
        <f>Tabla7[[#This Row],[P2 + P5]]*VLOOKUP(MONTH(Tabla7[[#This Row],[Fecha final]]),Tabla20[#All],3,FALSE)</f>
        <v>0</v>
      </c>
      <c r="J13" s="16">
        <f>(Tabla7[[#This Row],[P3 + P6]])*VLOOKUP(MONTH(Tabla7[[#This Row],[Fecha final]]),Tabla20[#All],4,FALSE)</f>
        <v>0</v>
      </c>
      <c r="K13" s="16">
        <f>Tabla7[[#This Row],[P1 + P4]]*VLOOKUP(MONTH(Tabla7[[#This Row],[Fecha final]]),Tabla20[#All],5,FALSE)</f>
        <v>0</v>
      </c>
      <c r="L13" s="16">
        <f>Tabla7[[#This Row],[P2 + P5]]*VLOOKUP(MONTH(Tabla7[[#This Row],[Fecha final]]),Tabla20[#All],6,FALSE)</f>
        <v>0</v>
      </c>
      <c r="M13" s="16">
        <f>Tabla7[[#This Row],[P3 + P6]]*VLOOKUP(MONTH(Tabla7[[#This Row],[Fecha final]]),Tabla20[#All],7,FALSE)</f>
        <v>0</v>
      </c>
      <c r="N13" s="16">
        <f>YEAR(Tabla7[[#This Row],[Fecha final]])</f>
        <v>2021</v>
      </c>
    </row>
    <row r="14" spans="1:14" hidden="1">
      <c r="A14" s="17">
        <v>44250</v>
      </c>
      <c r="B14" s="17">
        <v>44278</v>
      </c>
      <c r="C14" s="16">
        <v>28</v>
      </c>
      <c r="D14" s="16" t="s">
        <v>42</v>
      </c>
      <c r="E14" s="16">
        <v>697</v>
      </c>
      <c r="F14" s="16">
        <v>0</v>
      </c>
      <c r="G14" s="16">
        <v>0</v>
      </c>
      <c r="H14" s="16">
        <f>Tabla7[[#This Row],[P1 + P4]]*VLOOKUP(MONTH(Tabla7[[#This Row],[Fecha final]]),Tabla20[#All],2,FALSE)</f>
        <v>0</v>
      </c>
      <c r="I14" s="16">
        <f>Tabla7[[#This Row],[P2 + P5]]*VLOOKUP(MONTH(Tabla7[[#This Row],[Fecha final]]),Tabla20[#All],3,FALSE)</f>
        <v>0</v>
      </c>
      <c r="J14" s="16">
        <f>(Tabla7[[#This Row],[P3 + P6]])*VLOOKUP(MONTH(Tabla7[[#This Row],[Fecha final]]),Tabla20[#All],4,FALSE)</f>
        <v>0</v>
      </c>
      <c r="K14" s="16">
        <f>Tabla7[[#This Row],[P1 + P4]]*VLOOKUP(MONTH(Tabla7[[#This Row],[Fecha final]]),Tabla20[#All],5,FALSE)</f>
        <v>0</v>
      </c>
      <c r="L14" s="16">
        <f>Tabla7[[#This Row],[P2 + P5]]*VLOOKUP(MONTH(Tabla7[[#This Row],[Fecha final]]),Tabla20[#All],6,FALSE)</f>
        <v>0</v>
      </c>
      <c r="M14" s="16">
        <f>Tabla7[[#This Row],[P3 + P6]]*VLOOKUP(MONTH(Tabla7[[#This Row],[Fecha final]]),Tabla20[#All],7,FALSE)</f>
        <v>0</v>
      </c>
      <c r="N14" s="16">
        <f>YEAR(Tabla7[[#This Row],[Fecha final]])</f>
        <v>2021</v>
      </c>
    </row>
    <row r="15" spans="1:14" hidden="1">
      <c r="A15" s="17">
        <v>44278</v>
      </c>
      <c r="B15" s="17">
        <v>44313</v>
      </c>
      <c r="C15" s="16">
        <v>35</v>
      </c>
      <c r="D15" s="16" t="s">
        <v>42</v>
      </c>
      <c r="E15" s="16">
        <v>770</v>
      </c>
      <c r="F15" s="16">
        <v>0</v>
      </c>
      <c r="G15" s="16">
        <v>0</v>
      </c>
      <c r="H15" s="16">
        <f>Tabla7[[#This Row],[P1 + P4]]*VLOOKUP(MONTH(Tabla7[[#This Row],[Fecha final]]),Tabla20[#All],2,FALSE)</f>
        <v>0</v>
      </c>
      <c r="I15" s="16">
        <f>Tabla7[[#This Row],[P2 + P5]]*VLOOKUP(MONTH(Tabla7[[#This Row],[Fecha final]]),Tabla20[#All],3,FALSE)</f>
        <v>0</v>
      </c>
      <c r="J15" s="16">
        <f>(Tabla7[[#This Row],[P3 + P6]])*VLOOKUP(MONTH(Tabla7[[#This Row],[Fecha final]]),Tabla20[#All],4,FALSE)</f>
        <v>0</v>
      </c>
      <c r="K15" s="16">
        <f>Tabla7[[#This Row],[P1 + P4]]*VLOOKUP(MONTH(Tabla7[[#This Row],[Fecha final]]),Tabla20[#All],5,FALSE)</f>
        <v>770</v>
      </c>
      <c r="L15" s="16">
        <f>Tabla7[[#This Row],[P2 + P5]]*VLOOKUP(MONTH(Tabla7[[#This Row],[Fecha final]]),Tabla20[#All],6,FALSE)</f>
        <v>0</v>
      </c>
      <c r="M15" s="16">
        <f>Tabla7[[#This Row],[P3 + P6]]*VLOOKUP(MONTH(Tabla7[[#This Row],[Fecha final]]),Tabla20[#All],7,FALSE)</f>
        <v>0</v>
      </c>
      <c r="N15" s="16">
        <f>YEAR(Tabla7[[#This Row],[Fecha final]])</f>
        <v>2021</v>
      </c>
    </row>
    <row r="16" spans="1:14" hidden="1">
      <c r="A16" s="17">
        <v>44313</v>
      </c>
      <c r="B16" s="17">
        <v>44341</v>
      </c>
      <c r="C16" s="16">
        <v>28</v>
      </c>
      <c r="D16" s="16" t="s">
        <v>42</v>
      </c>
      <c r="E16" s="16">
        <v>446</v>
      </c>
      <c r="F16" s="16">
        <v>0</v>
      </c>
      <c r="G16" s="16">
        <v>0</v>
      </c>
      <c r="H16" s="16">
        <f>Tabla7[[#This Row],[P1 + P4]]*VLOOKUP(MONTH(Tabla7[[#This Row],[Fecha final]]),Tabla20[#All],2,FALSE)</f>
        <v>0</v>
      </c>
      <c r="I16" s="16">
        <f>Tabla7[[#This Row],[P2 + P5]]*VLOOKUP(MONTH(Tabla7[[#This Row],[Fecha final]]),Tabla20[#All],3,FALSE)</f>
        <v>0</v>
      </c>
      <c r="J16" s="16">
        <f>(Tabla7[[#This Row],[P3 + P6]])*VLOOKUP(MONTH(Tabla7[[#This Row],[Fecha final]]),Tabla20[#All],4,FALSE)</f>
        <v>0</v>
      </c>
      <c r="K16" s="16">
        <f>Tabla7[[#This Row],[P1 + P4]]*VLOOKUP(MONTH(Tabla7[[#This Row],[Fecha final]]),Tabla20[#All],5,FALSE)</f>
        <v>446</v>
      </c>
      <c r="L16" s="16">
        <f>Tabla7[[#This Row],[P2 + P5]]*VLOOKUP(MONTH(Tabla7[[#This Row],[Fecha final]]),Tabla20[#All],6,FALSE)</f>
        <v>0</v>
      </c>
      <c r="M16" s="16">
        <f>Tabla7[[#This Row],[P3 + P6]]*VLOOKUP(MONTH(Tabla7[[#This Row],[Fecha final]]),Tabla20[#All],7,FALSE)</f>
        <v>0</v>
      </c>
      <c r="N16" s="16">
        <f>YEAR(Tabla7[[#This Row],[Fecha final]])</f>
        <v>2021</v>
      </c>
    </row>
    <row r="17" spans="1:14" hidden="1">
      <c r="A17" s="17">
        <v>44341</v>
      </c>
      <c r="B17" s="17">
        <v>44347</v>
      </c>
      <c r="C17" s="16">
        <v>6</v>
      </c>
      <c r="D17" s="16" t="s">
        <v>42</v>
      </c>
      <c r="E17" s="16">
        <v>67</v>
      </c>
      <c r="F17" s="16">
        <v>0</v>
      </c>
      <c r="G17" s="16">
        <v>0</v>
      </c>
      <c r="H17" s="16">
        <f>Tabla7[[#This Row],[P1 + P4]]*VLOOKUP(MONTH(Tabla7[[#This Row],[Fecha final]]),Tabla20[#All],2,FALSE)</f>
        <v>0</v>
      </c>
      <c r="I17" s="16">
        <f>Tabla7[[#This Row],[P2 + P5]]*VLOOKUP(MONTH(Tabla7[[#This Row],[Fecha final]]),Tabla20[#All],3,FALSE)</f>
        <v>0</v>
      </c>
      <c r="J17" s="16">
        <f>(Tabla7[[#This Row],[P3 + P6]])*VLOOKUP(MONTH(Tabla7[[#This Row],[Fecha final]]),Tabla20[#All],4,FALSE)</f>
        <v>0</v>
      </c>
      <c r="K17" s="16">
        <f>Tabla7[[#This Row],[P1 + P4]]*VLOOKUP(MONTH(Tabla7[[#This Row],[Fecha final]]),Tabla20[#All],5,FALSE)</f>
        <v>67</v>
      </c>
      <c r="L17" s="16">
        <f>Tabla7[[#This Row],[P2 + P5]]*VLOOKUP(MONTH(Tabla7[[#This Row],[Fecha final]]),Tabla20[#All],6,FALSE)</f>
        <v>0</v>
      </c>
      <c r="M17" s="16">
        <f>Tabla7[[#This Row],[P3 + P6]]*VLOOKUP(MONTH(Tabla7[[#This Row],[Fecha final]]),Tabla20[#All],7,FALSE)</f>
        <v>0</v>
      </c>
      <c r="N17" s="16">
        <f>YEAR(Tabla7[[#This Row],[Fecha final]])</f>
        <v>2021</v>
      </c>
    </row>
    <row r="18" spans="1:14" hidden="1">
      <c r="A18" s="17">
        <v>44347</v>
      </c>
      <c r="B18" s="17">
        <v>44371</v>
      </c>
      <c r="C18" s="16">
        <v>24</v>
      </c>
      <c r="D18" s="16" t="s">
        <v>42</v>
      </c>
      <c r="E18" s="16">
        <v>115</v>
      </c>
      <c r="F18" s="16">
        <v>64</v>
      </c>
      <c r="G18" s="16">
        <v>59</v>
      </c>
      <c r="H18" s="16">
        <f>Tabla7[[#This Row],[P1 + P4]]*VLOOKUP(MONTH(Tabla7[[#This Row],[Fecha final]]),Tabla20[#All],2,FALSE)</f>
        <v>0</v>
      </c>
      <c r="I18" s="16">
        <f>Tabla7[[#This Row],[P2 + P5]]*VLOOKUP(MONTH(Tabla7[[#This Row],[Fecha final]]),Tabla20[#All],3,FALSE)</f>
        <v>0</v>
      </c>
      <c r="J18" s="16">
        <f>(Tabla7[[#This Row],[P3 + P6]])*VLOOKUP(MONTH(Tabla7[[#This Row],[Fecha final]]),Tabla20[#All],4,FALSE)</f>
        <v>20.638200000000001</v>
      </c>
      <c r="K18" s="16">
        <f>Tabla7[[#This Row],[P1 + P4]]*VLOOKUP(MONTH(Tabla7[[#This Row],[Fecha final]]),Tabla20[#All],5,FALSE)</f>
        <v>115</v>
      </c>
      <c r="L18" s="16">
        <f>Tabla7[[#This Row],[P2 + P5]]*VLOOKUP(MONTH(Tabla7[[#This Row],[Fecha final]]),Tabla20[#All],6,FALSE)</f>
        <v>0</v>
      </c>
      <c r="M18" s="16">
        <f>Tabla7[[#This Row],[P3 + P6]]*VLOOKUP(MONTH(Tabla7[[#This Row],[Fecha final]]),Tabla20[#All],7,FALSE)</f>
        <v>38.361800000000002</v>
      </c>
      <c r="N18" s="16">
        <f>YEAR(Tabla7[[#This Row],[Fecha final]])</f>
        <v>2021</v>
      </c>
    </row>
    <row r="19" spans="1:14" hidden="1">
      <c r="A19" s="17">
        <v>44371</v>
      </c>
      <c r="B19" s="17">
        <v>44402</v>
      </c>
      <c r="C19" s="16">
        <v>31</v>
      </c>
      <c r="D19" s="16" t="s">
        <v>42</v>
      </c>
      <c r="E19" s="16">
        <v>162</v>
      </c>
      <c r="F19" s="16">
        <v>95</v>
      </c>
      <c r="G19" s="16">
        <v>82</v>
      </c>
      <c r="H19" s="16">
        <f>Tabla7[[#This Row],[P1 + P4]]*VLOOKUP(MONTH(Tabla7[[#This Row],[Fecha final]]),Tabla20[#All],2,FALSE)</f>
        <v>162</v>
      </c>
      <c r="I19" s="16">
        <f>Tabla7[[#This Row],[P2 + P5]]*VLOOKUP(MONTH(Tabla7[[#This Row],[Fecha final]]),Tabla20[#All],3,FALSE)</f>
        <v>95</v>
      </c>
      <c r="J19" s="16">
        <f>(Tabla7[[#This Row],[P3 + P6]])*VLOOKUP(MONTH(Tabla7[[#This Row],[Fecha final]]),Tabla20[#All],4,FALSE)</f>
        <v>0</v>
      </c>
      <c r="K19" s="16">
        <f>Tabla7[[#This Row],[P1 + P4]]*VLOOKUP(MONTH(Tabla7[[#This Row],[Fecha final]]),Tabla20[#All],5,FALSE)</f>
        <v>0</v>
      </c>
      <c r="L19" s="16">
        <f>Tabla7[[#This Row],[P2 + P5]]*VLOOKUP(MONTH(Tabla7[[#This Row],[Fecha final]]),Tabla20[#All],6,FALSE)</f>
        <v>0</v>
      </c>
      <c r="M19" s="16">
        <f>Tabla7[[#This Row],[P3 + P6]]*VLOOKUP(MONTH(Tabla7[[#This Row],[Fecha final]]),Tabla20[#All],7,FALSE)</f>
        <v>82</v>
      </c>
      <c r="N19" s="16">
        <f>YEAR(Tabla7[[#This Row],[Fecha final]])</f>
        <v>2021</v>
      </c>
    </row>
    <row r="20" spans="1:14" hidden="1">
      <c r="A20" s="17">
        <v>44402</v>
      </c>
      <c r="B20" s="17">
        <v>44431</v>
      </c>
      <c r="C20" s="16">
        <v>29</v>
      </c>
      <c r="D20" s="16" t="s">
        <v>42</v>
      </c>
      <c r="E20" s="16">
        <v>85</v>
      </c>
      <c r="F20" s="16">
        <v>71</v>
      </c>
      <c r="G20" s="16">
        <v>82</v>
      </c>
      <c r="H20" s="16">
        <f>Tabla7[[#This Row],[P1 + P4]]*VLOOKUP(MONTH(Tabla7[[#This Row],[Fecha final]]),Tabla20[#All],2,FALSE)</f>
        <v>0</v>
      </c>
      <c r="I20" s="16">
        <f>Tabla7[[#This Row],[P2 + P5]]*VLOOKUP(MONTH(Tabla7[[#This Row],[Fecha final]]),Tabla20[#All],3,FALSE)</f>
        <v>0</v>
      </c>
      <c r="J20" s="16">
        <f>(Tabla7[[#This Row],[P3 + P6]])*VLOOKUP(MONTH(Tabla7[[#This Row],[Fecha final]]),Tabla20[#All],4,FALSE)</f>
        <v>27.519200000000001</v>
      </c>
      <c r="K20" s="16">
        <f>Tabla7[[#This Row],[P1 + P4]]*VLOOKUP(MONTH(Tabla7[[#This Row],[Fecha final]]),Tabla20[#All],5,FALSE)</f>
        <v>85</v>
      </c>
      <c r="L20" s="16">
        <f>Tabla7[[#This Row],[P2 + P5]]*VLOOKUP(MONTH(Tabla7[[#This Row],[Fecha final]]),Tabla20[#All],6,FALSE)</f>
        <v>0</v>
      </c>
      <c r="M20" s="16">
        <f>Tabla7[[#This Row],[P3 + P6]]*VLOOKUP(MONTH(Tabla7[[#This Row],[Fecha final]]),Tabla20[#All],7,FALSE)</f>
        <v>54.480800000000002</v>
      </c>
      <c r="N20" s="16">
        <f>YEAR(Tabla7[[#This Row],[Fecha final]])</f>
        <v>2021</v>
      </c>
    </row>
    <row r="21" spans="1:14" hidden="1">
      <c r="A21" s="17">
        <v>44431</v>
      </c>
      <c r="B21" s="17">
        <v>44461</v>
      </c>
      <c r="C21" s="16">
        <v>30</v>
      </c>
      <c r="D21" s="16" t="s">
        <v>42</v>
      </c>
      <c r="E21" s="16">
        <v>168</v>
      </c>
      <c r="F21" s="16">
        <v>125</v>
      </c>
      <c r="G21" s="16">
        <v>83</v>
      </c>
      <c r="H21" s="16">
        <f>Tabla7[[#This Row],[P1 + P4]]*VLOOKUP(MONTH(Tabla7[[#This Row],[Fecha final]]),Tabla20[#All],2,FALSE)</f>
        <v>0</v>
      </c>
      <c r="I21" s="16">
        <f>Tabla7[[#This Row],[P2 + P5]]*VLOOKUP(MONTH(Tabla7[[#This Row],[Fecha final]]),Tabla20[#All],3,FALSE)</f>
        <v>0</v>
      </c>
      <c r="J21" s="16">
        <f>(Tabla7[[#This Row],[P3 + P6]])*VLOOKUP(MONTH(Tabla7[[#This Row],[Fecha final]]),Tabla20[#All],4,FALSE)</f>
        <v>29.0334</v>
      </c>
      <c r="K21" s="16">
        <f>Tabla7[[#This Row],[P1 + P4]]*VLOOKUP(MONTH(Tabla7[[#This Row],[Fecha final]]),Tabla20[#All],5,FALSE)</f>
        <v>168</v>
      </c>
      <c r="L21" s="16">
        <f>Tabla7[[#This Row],[P2 + P5]]*VLOOKUP(MONTH(Tabla7[[#This Row],[Fecha final]]),Tabla20[#All],6,FALSE)</f>
        <v>0</v>
      </c>
      <c r="M21" s="16">
        <f>Tabla7[[#This Row],[P3 + P6]]*VLOOKUP(MONTH(Tabla7[[#This Row],[Fecha final]]),Tabla20[#All],7,FALSE)</f>
        <v>53.9666</v>
      </c>
      <c r="N21" s="16">
        <f>YEAR(Tabla7[[#This Row],[Fecha final]])</f>
        <v>2021</v>
      </c>
    </row>
    <row r="22" spans="1:14" hidden="1">
      <c r="A22" s="17">
        <v>44461</v>
      </c>
      <c r="B22" s="17">
        <v>44494</v>
      </c>
      <c r="C22" s="16">
        <v>33</v>
      </c>
      <c r="D22" s="16" t="s">
        <v>42</v>
      </c>
      <c r="E22" s="16">
        <v>136</v>
      </c>
      <c r="F22" s="16">
        <v>90</v>
      </c>
      <c r="G22" s="16">
        <v>94</v>
      </c>
      <c r="H22" s="16">
        <f>Tabla7[[#This Row],[P1 + P4]]*VLOOKUP(MONTH(Tabla7[[#This Row],[Fecha final]]),Tabla20[#All],2,FALSE)</f>
        <v>0</v>
      </c>
      <c r="I22" s="16">
        <f>Tabla7[[#This Row],[P2 + P5]]*VLOOKUP(MONTH(Tabla7[[#This Row],[Fecha final]]),Tabla20[#All],3,FALSE)</f>
        <v>0</v>
      </c>
      <c r="J22" s="16">
        <f>(Tabla7[[#This Row],[P3 + P6]])*VLOOKUP(MONTH(Tabla7[[#This Row],[Fecha final]]),Tabla20[#All],4,FALSE)</f>
        <v>0</v>
      </c>
      <c r="K22" s="16">
        <f>Tabla7[[#This Row],[P1 + P4]]*VLOOKUP(MONTH(Tabla7[[#This Row],[Fecha final]]),Tabla20[#All],5,FALSE)</f>
        <v>136</v>
      </c>
      <c r="L22" s="16">
        <f>Tabla7[[#This Row],[P2 + P5]]*VLOOKUP(MONTH(Tabla7[[#This Row],[Fecha final]]),Tabla20[#All],6,FALSE)</f>
        <v>90</v>
      </c>
      <c r="M22" s="16">
        <f>Tabla7[[#This Row],[P3 + P6]]*VLOOKUP(MONTH(Tabla7[[#This Row],[Fecha final]]),Tabla20[#All],7,FALSE)</f>
        <v>94</v>
      </c>
      <c r="N22" s="16">
        <f>YEAR(Tabla7[[#This Row],[Fecha final]])</f>
        <v>2021</v>
      </c>
    </row>
    <row r="23" spans="1:14" hidden="1">
      <c r="A23" s="17">
        <v>44494</v>
      </c>
      <c r="B23" s="17">
        <v>44523</v>
      </c>
      <c r="C23" s="16">
        <v>29</v>
      </c>
      <c r="D23" s="16" t="s">
        <v>42</v>
      </c>
      <c r="E23" s="16">
        <v>229</v>
      </c>
      <c r="F23" s="16">
        <v>233</v>
      </c>
      <c r="G23" s="16">
        <v>100</v>
      </c>
      <c r="H23" s="16">
        <f>Tabla7[[#This Row],[P1 + P4]]*VLOOKUP(MONTH(Tabla7[[#This Row],[Fecha final]]),Tabla20[#All],2,FALSE)</f>
        <v>0</v>
      </c>
      <c r="I23" s="16">
        <f>Tabla7[[#This Row],[P2 + P5]]*VLOOKUP(MONTH(Tabla7[[#This Row],[Fecha final]]),Tabla20[#All],3,FALSE)</f>
        <v>233</v>
      </c>
      <c r="J23" s="16">
        <f>(Tabla7[[#This Row],[P3 + P6]])*VLOOKUP(MONTH(Tabla7[[#This Row],[Fecha final]]),Tabla20[#All],4,FALSE)</f>
        <v>27.68</v>
      </c>
      <c r="K23" s="16">
        <f>Tabla7[[#This Row],[P1 + P4]]*VLOOKUP(MONTH(Tabla7[[#This Row],[Fecha final]]),Tabla20[#All],5,FALSE)</f>
        <v>0</v>
      </c>
      <c r="L23" s="16">
        <f>Tabla7[[#This Row],[P2 + P5]]*VLOOKUP(MONTH(Tabla7[[#This Row],[Fecha final]]),Tabla20[#All],6,FALSE)</f>
        <v>0</v>
      </c>
      <c r="M23" s="16">
        <f>Tabla7[[#This Row],[P3 + P6]]*VLOOKUP(MONTH(Tabla7[[#This Row],[Fecha final]]),Tabla20[#All],7,FALSE)</f>
        <v>72.319999999999993</v>
      </c>
      <c r="N23" s="16">
        <f>YEAR(Tabla7[[#This Row],[Fecha final]])</f>
        <v>2021</v>
      </c>
    </row>
    <row r="24" spans="1:14" hidden="1">
      <c r="A24" s="17">
        <v>44523</v>
      </c>
      <c r="B24" s="17">
        <v>44533</v>
      </c>
      <c r="C24" s="16">
        <v>10</v>
      </c>
      <c r="D24" s="16" t="s">
        <v>42</v>
      </c>
      <c r="E24" s="16">
        <v>137</v>
      </c>
      <c r="F24" s="16">
        <v>150</v>
      </c>
      <c r="G24" s="16">
        <v>33</v>
      </c>
      <c r="H24" s="16">
        <f>Tabla7[[#This Row],[P1 + P4]]*VLOOKUP(MONTH(Tabla7[[#This Row],[Fecha final]]),Tabla20[#All],2,FALSE)</f>
        <v>137</v>
      </c>
      <c r="I24" s="16">
        <f>Tabla7[[#This Row],[P2 + P5]]*VLOOKUP(MONTH(Tabla7[[#This Row],[Fecha final]]),Tabla20[#All],3,FALSE)</f>
        <v>150</v>
      </c>
      <c r="J24" s="16">
        <f>(Tabla7[[#This Row],[P3 + P6]])*VLOOKUP(MONTH(Tabla7[[#This Row],[Fecha final]]),Tabla20[#All],4,FALSE)</f>
        <v>0</v>
      </c>
      <c r="K24" s="16">
        <f>Tabla7[[#This Row],[P1 + P4]]*VLOOKUP(MONTH(Tabla7[[#This Row],[Fecha final]]),Tabla20[#All],5,FALSE)</f>
        <v>0</v>
      </c>
      <c r="L24" s="16">
        <f>Tabla7[[#This Row],[P2 + P5]]*VLOOKUP(MONTH(Tabla7[[#This Row],[Fecha final]]),Tabla20[#All],6,FALSE)</f>
        <v>0</v>
      </c>
      <c r="M24" s="16">
        <f>Tabla7[[#This Row],[P3 + P6]]*VLOOKUP(MONTH(Tabla7[[#This Row],[Fecha final]]),Tabla20[#All],7,FALSE)</f>
        <v>33</v>
      </c>
      <c r="N24" s="16">
        <f>YEAR(Tabla7[[#This Row],[Fecha final]])</f>
        <v>2021</v>
      </c>
    </row>
    <row r="25" spans="1:14">
      <c r="A25" s="17">
        <v>44533</v>
      </c>
      <c r="B25" s="17">
        <v>44563</v>
      </c>
      <c r="C25" s="16">
        <v>30</v>
      </c>
      <c r="D25" s="16" t="s">
        <v>42</v>
      </c>
      <c r="E25" s="16">
        <v>359</v>
      </c>
      <c r="F25" s="16">
        <v>317</v>
      </c>
      <c r="G25" s="16">
        <v>110</v>
      </c>
      <c r="H25" s="16">
        <f>Tabla7[[#This Row],[P1 + P4]]*VLOOKUP(MONTH(Tabla7[[#This Row],[Fecha final]]),Tabla20[#All],2,FALSE)</f>
        <v>359</v>
      </c>
      <c r="I25" s="16">
        <f>Tabla7[[#This Row],[P2 + P5]]*VLOOKUP(MONTH(Tabla7[[#This Row],[Fecha final]]),Tabla20[#All],3,FALSE)</f>
        <v>317</v>
      </c>
      <c r="J25" s="16">
        <f>(Tabla7[[#This Row],[P3 + P6]])*VLOOKUP(MONTH(Tabla7[[#This Row],[Fecha final]]),Tabla20[#All],4,FALSE)</f>
        <v>0</v>
      </c>
      <c r="K25" s="16">
        <f>Tabla7[[#This Row],[P1 + P4]]*VLOOKUP(MONTH(Tabla7[[#This Row],[Fecha final]]),Tabla20[#All],5,FALSE)</f>
        <v>0</v>
      </c>
      <c r="L25" s="16">
        <f>Tabla7[[#This Row],[P2 + P5]]*VLOOKUP(MONTH(Tabla7[[#This Row],[Fecha final]]),Tabla20[#All],6,FALSE)</f>
        <v>0</v>
      </c>
      <c r="M25" s="16">
        <f>Tabla7[[#This Row],[P3 + P6]]*VLOOKUP(MONTH(Tabla7[[#This Row],[Fecha final]]),Tabla20[#All],7,FALSE)</f>
        <v>110</v>
      </c>
      <c r="N25" s="16">
        <f>YEAR(Tabla7[[#This Row],[Fecha final]])</f>
        <v>2022</v>
      </c>
    </row>
    <row r="26" spans="1:14">
      <c r="A26" s="17">
        <v>44563</v>
      </c>
      <c r="B26" s="17">
        <v>44574</v>
      </c>
      <c r="C26" s="16">
        <v>11</v>
      </c>
      <c r="D26" s="16" t="s">
        <v>42</v>
      </c>
      <c r="E26" s="16">
        <v>108</v>
      </c>
      <c r="F26" s="16">
        <v>84</v>
      </c>
      <c r="G26" s="16">
        <v>32</v>
      </c>
      <c r="H26" s="16">
        <f>Tabla7[[#This Row],[P1 + P4]]*VLOOKUP(MONTH(Tabla7[[#This Row],[Fecha final]]),Tabla20[#All],2,FALSE)</f>
        <v>108</v>
      </c>
      <c r="I26" s="16">
        <f>Tabla7[[#This Row],[P2 + P5]]*VLOOKUP(MONTH(Tabla7[[#This Row],[Fecha final]]),Tabla20[#All],3,FALSE)</f>
        <v>84</v>
      </c>
      <c r="J26" s="16">
        <f>(Tabla7[[#This Row],[P3 + P6]])*VLOOKUP(MONTH(Tabla7[[#This Row],[Fecha final]]),Tabla20[#All],4,FALSE)</f>
        <v>0</v>
      </c>
      <c r="K26" s="16">
        <f>Tabla7[[#This Row],[P1 + P4]]*VLOOKUP(MONTH(Tabla7[[#This Row],[Fecha final]]),Tabla20[#All],5,FALSE)</f>
        <v>0</v>
      </c>
      <c r="L26" s="16">
        <f>Tabla7[[#This Row],[P2 + P5]]*VLOOKUP(MONTH(Tabla7[[#This Row],[Fecha final]]),Tabla20[#All],6,FALSE)</f>
        <v>0</v>
      </c>
      <c r="M26" s="16">
        <f>Tabla7[[#This Row],[P3 + P6]]*VLOOKUP(MONTH(Tabla7[[#This Row],[Fecha final]]),Tabla20[#All],7,FALSE)</f>
        <v>32</v>
      </c>
      <c r="N26" s="16">
        <f>YEAR(Tabla7[[#This Row],[Fecha final]])</f>
        <v>2022</v>
      </c>
    </row>
    <row r="27" spans="1:14">
      <c r="A27" s="17">
        <v>44574</v>
      </c>
      <c r="B27" s="17">
        <v>44604</v>
      </c>
      <c r="C27" s="16">
        <v>30</v>
      </c>
      <c r="D27" s="16" t="s">
        <v>42</v>
      </c>
      <c r="E27" s="16">
        <v>521</v>
      </c>
      <c r="F27" s="16">
        <v>470</v>
      </c>
      <c r="G27" s="16">
        <v>104</v>
      </c>
      <c r="H27" s="16">
        <f>Tabla7[[#This Row],[P1 + P4]]*VLOOKUP(MONTH(Tabla7[[#This Row],[Fecha final]]),Tabla20[#All],2,FALSE)</f>
        <v>521</v>
      </c>
      <c r="I27" s="16">
        <f>Tabla7[[#This Row],[P2 + P5]]*VLOOKUP(MONTH(Tabla7[[#This Row],[Fecha final]]),Tabla20[#All],3,FALSE)</f>
        <v>470</v>
      </c>
      <c r="J27" s="16">
        <f>(Tabla7[[#This Row],[P3 + P6]])*VLOOKUP(MONTH(Tabla7[[#This Row],[Fecha final]]),Tabla20[#All],4,FALSE)</f>
        <v>0</v>
      </c>
      <c r="K27" s="16">
        <f>Tabla7[[#This Row],[P1 + P4]]*VLOOKUP(MONTH(Tabla7[[#This Row],[Fecha final]]),Tabla20[#All],5,FALSE)</f>
        <v>0</v>
      </c>
      <c r="L27" s="16">
        <f>Tabla7[[#This Row],[P2 + P5]]*VLOOKUP(MONTH(Tabla7[[#This Row],[Fecha final]]),Tabla20[#All],6,FALSE)</f>
        <v>0</v>
      </c>
      <c r="M27" s="16">
        <f>Tabla7[[#This Row],[P3 + P6]]*VLOOKUP(MONTH(Tabla7[[#This Row],[Fecha final]]),Tabla20[#All],7,FALSE)</f>
        <v>104</v>
      </c>
      <c r="N27" s="16">
        <f>YEAR(Tabla7[[#This Row],[Fecha final]])</f>
        <v>2022</v>
      </c>
    </row>
    <row r="28" spans="1:14">
      <c r="A28" s="17">
        <v>44604</v>
      </c>
      <c r="B28" s="17">
        <v>44632</v>
      </c>
      <c r="C28" s="16">
        <v>28</v>
      </c>
      <c r="D28" s="16" t="s">
        <v>42</v>
      </c>
      <c r="E28" s="16">
        <v>359</v>
      </c>
      <c r="F28" s="16">
        <v>378</v>
      </c>
      <c r="G28" s="16">
        <v>99</v>
      </c>
      <c r="H28" s="16">
        <f>Tabla7[[#This Row],[P1 + P4]]*VLOOKUP(MONTH(Tabla7[[#This Row],[Fecha final]]),Tabla20[#All],2,FALSE)</f>
        <v>0</v>
      </c>
      <c r="I28" s="16">
        <f>Tabla7[[#This Row],[P2 + P5]]*VLOOKUP(MONTH(Tabla7[[#This Row],[Fecha final]]),Tabla20[#All],3,FALSE)</f>
        <v>378</v>
      </c>
      <c r="J28" s="16">
        <f>(Tabla7[[#This Row],[P3 + P6]])*VLOOKUP(MONTH(Tabla7[[#This Row],[Fecha final]]),Tabla20[#All],4,FALSE)</f>
        <v>29.680200000000003</v>
      </c>
      <c r="K28" s="16">
        <f>Tabla7[[#This Row],[P1 + P4]]*VLOOKUP(MONTH(Tabla7[[#This Row],[Fecha final]]),Tabla20[#All],5,FALSE)</f>
        <v>0</v>
      </c>
      <c r="L28" s="16">
        <f>Tabla7[[#This Row],[P2 + P5]]*VLOOKUP(MONTH(Tabla7[[#This Row],[Fecha final]]),Tabla20[#All],6,FALSE)</f>
        <v>0</v>
      </c>
      <c r="M28" s="16">
        <f>Tabla7[[#This Row],[P3 + P6]]*VLOOKUP(MONTH(Tabla7[[#This Row],[Fecha final]]),Tabla20[#All],7,FALSE)</f>
        <v>69.319800000000001</v>
      </c>
      <c r="N28" s="16">
        <f>YEAR(Tabla7[[#This Row],[Fecha final]])</f>
        <v>2022</v>
      </c>
    </row>
    <row r="29" spans="1:14">
      <c r="A29" s="17">
        <v>44632</v>
      </c>
      <c r="B29" s="17">
        <v>44663</v>
      </c>
      <c r="C29" s="16">
        <v>31</v>
      </c>
      <c r="D29" s="16" t="s">
        <v>42</v>
      </c>
      <c r="E29" s="16">
        <v>332</v>
      </c>
      <c r="F29" s="16">
        <v>368</v>
      </c>
      <c r="G29" s="16">
        <v>104</v>
      </c>
      <c r="H29" s="16">
        <f>Tabla7[[#This Row],[P1 + P4]]*VLOOKUP(MONTH(Tabla7[[#This Row],[Fecha final]]),Tabla20[#All],2,FALSE)</f>
        <v>0</v>
      </c>
      <c r="I29" s="16">
        <f>Tabla7[[#This Row],[P2 + P5]]*VLOOKUP(MONTH(Tabla7[[#This Row],[Fecha final]]),Tabla20[#All],3,FALSE)</f>
        <v>0</v>
      </c>
      <c r="J29" s="16">
        <f>(Tabla7[[#This Row],[P3 + P6]])*VLOOKUP(MONTH(Tabla7[[#This Row],[Fecha final]]),Tabla20[#All],4,FALSE)</f>
        <v>0</v>
      </c>
      <c r="K29" s="16">
        <f>Tabla7[[#This Row],[P1 + P4]]*VLOOKUP(MONTH(Tabla7[[#This Row],[Fecha final]]),Tabla20[#All],5,FALSE)</f>
        <v>332</v>
      </c>
      <c r="L29" s="16">
        <f>Tabla7[[#This Row],[P2 + P5]]*VLOOKUP(MONTH(Tabla7[[#This Row],[Fecha final]]),Tabla20[#All],6,FALSE)</f>
        <v>368</v>
      </c>
      <c r="M29" s="16">
        <f>Tabla7[[#This Row],[P3 + P6]]*VLOOKUP(MONTH(Tabla7[[#This Row],[Fecha final]]),Tabla20[#All],7,FALSE)</f>
        <v>104</v>
      </c>
      <c r="N29" s="16">
        <f>YEAR(Tabla7[[#This Row],[Fecha final]])</f>
        <v>2022</v>
      </c>
    </row>
    <row r="30" spans="1:14">
      <c r="A30" s="17">
        <v>44663</v>
      </c>
      <c r="B30" s="17">
        <v>44692</v>
      </c>
      <c r="C30" s="16">
        <v>29</v>
      </c>
      <c r="D30" s="16" t="s">
        <v>42</v>
      </c>
      <c r="E30" s="16">
        <v>168</v>
      </c>
      <c r="F30" s="16">
        <v>187</v>
      </c>
      <c r="G30" s="16">
        <v>80</v>
      </c>
      <c r="H30" s="16">
        <f>Tabla7[[#This Row],[P1 + P4]]*VLOOKUP(MONTH(Tabla7[[#This Row],[Fecha final]]),Tabla20[#All],2,FALSE)</f>
        <v>0</v>
      </c>
      <c r="I30" s="16">
        <f>Tabla7[[#This Row],[P2 + P5]]*VLOOKUP(MONTH(Tabla7[[#This Row],[Fecha final]]),Tabla20[#All],3,FALSE)</f>
        <v>0</v>
      </c>
      <c r="J30" s="16">
        <f>(Tabla7[[#This Row],[P3 + P6]])*VLOOKUP(MONTH(Tabla7[[#This Row],[Fecha final]]),Tabla20[#All],4,FALSE)</f>
        <v>0</v>
      </c>
      <c r="K30" s="16">
        <f>Tabla7[[#This Row],[P1 + P4]]*VLOOKUP(MONTH(Tabla7[[#This Row],[Fecha final]]),Tabla20[#All],5,FALSE)</f>
        <v>168</v>
      </c>
      <c r="L30" s="16">
        <f>Tabla7[[#This Row],[P2 + P5]]*VLOOKUP(MONTH(Tabla7[[#This Row],[Fecha final]]),Tabla20[#All],6,FALSE)</f>
        <v>187</v>
      </c>
      <c r="M30" s="16">
        <f>Tabla7[[#This Row],[P3 + P6]]*VLOOKUP(MONTH(Tabla7[[#This Row],[Fecha final]]),Tabla20[#All],7,FALSE)</f>
        <v>80</v>
      </c>
      <c r="N30" s="16">
        <f>YEAR(Tabla7[[#This Row],[Fecha final]])</f>
        <v>2022</v>
      </c>
    </row>
    <row r="31" spans="1:14">
      <c r="A31" s="17">
        <v>44692</v>
      </c>
      <c r="B31" s="17">
        <v>44726</v>
      </c>
      <c r="C31" s="16">
        <v>34</v>
      </c>
      <c r="D31" s="16" t="s">
        <v>42</v>
      </c>
      <c r="E31" s="16">
        <v>168</v>
      </c>
      <c r="F31" s="16">
        <v>121</v>
      </c>
      <c r="G31" s="16">
        <v>85</v>
      </c>
      <c r="H31" s="16">
        <f>Tabla7[[#This Row],[P1 + P4]]*VLOOKUP(MONTH(Tabla7[[#This Row],[Fecha final]]),Tabla20[#All],2,FALSE)</f>
        <v>0</v>
      </c>
      <c r="I31" s="16">
        <f>Tabla7[[#This Row],[P2 + P5]]*VLOOKUP(MONTH(Tabla7[[#This Row],[Fecha final]]),Tabla20[#All],3,FALSE)</f>
        <v>0</v>
      </c>
      <c r="J31" s="16">
        <f>(Tabla7[[#This Row],[P3 + P6]])*VLOOKUP(MONTH(Tabla7[[#This Row],[Fecha final]]),Tabla20[#All],4,FALSE)</f>
        <v>29.733000000000001</v>
      </c>
      <c r="K31" s="16">
        <f>Tabla7[[#This Row],[P1 + P4]]*VLOOKUP(MONTH(Tabla7[[#This Row],[Fecha final]]),Tabla20[#All],5,FALSE)</f>
        <v>168</v>
      </c>
      <c r="L31" s="16">
        <f>Tabla7[[#This Row],[P2 + P5]]*VLOOKUP(MONTH(Tabla7[[#This Row],[Fecha final]]),Tabla20[#All],6,FALSE)</f>
        <v>0</v>
      </c>
      <c r="M31" s="16">
        <f>Tabla7[[#This Row],[P3 + P6]]*VLOOKUP(MONTH(Tabla7[[#This Row],[Fecha final]]),Tabla20[#All],7,FALSE)</f>
        <v>55.267000000000003</v>
      </c>
      <c r="N31" s="16">
        <f>YEAR(Tabla7[[#This Row],[Fecha final]])</f>
        <v>2022</v>
      </c>
    </row>
    <row r="32" spans="1:14">
      <c r="A32" s="17">
        <v>44726</v>
      </c>
      <c r="B32" s="17">
        <v>44755</v>
      </c>
      <c r="C32" s="16">
        <v>29</v>
      </c>
      <c r="D32" s="16" t="s">
        <v>42</v>
      </c>
      <c r="E32" s="16">
        <v>189</v>
      </c>
      <c r="F32" s="16">
        <v>156</v>
      </c>
      <c r="G32" s="16">
        <v>74</v>
      </c>
      <c r="H32" s="16">
        <f>Tabla7[[#This Row],[P1 + P4]]*VLOOKUP(MONTH(Tabla7[[#This Row],[Fecha final]]),Tabla20[#All],2,FALSE)</f>
        <v>189</v>
      </c>
      <c r="I32" s="16">
        <f>Tabla7[[#This Row],[P2 + P5]]*VLOOKUP(MONTH(Tabla7[[#This Row],[Fecha final]]),Tabla20[#All],3,FALSE)</f>
        <v>156</v>
      </c>
      <c r="J32" s="16">
        <f>(Tabla7[[#This Row],[P3 + P6]])*VLOOKUP(MONTH(Tabla7[[#This Row],[Fecha final]]),Tabla20[#All],4,FALSE)</f>
        <v>0</v>
      </c>
      <c r="K32" s="16">
        <f>Tabla7[[#This Row],[P1 + P4]]*VLOOKUP(MONTH(Tabla7[[#This Row],[Fecha final]]),Tabla20[#All],5,FALSE)</f>
        <v>0</v>
      </c>
      <c r="L32" s="16">
        <f>Tabla7[[#This Row],[P2 + P5]]*VLOOKUP(MONTH(Tabla7[[#This Row],[Fecha final]]),Tabla20[#All],6,FALSE)</f>
        <v>0</v>
      </c>
      <c r="M32" s="16">
        <f>Tabla7[[#This Row],[P3 + P6]]*VLOOKUP(MONTH(Tabla7[[#This Row],[Fecha final]]),Tabla20[#All],7,FALSE)</f>
        <v>74</v>
      </c>
      <c r="N32" s="16">
        <f>YEAR(Tabla7[[#This Row],[Fecha final]])</f>
        <v>2022</v>
      </c>
    </row>
    <row r="33" spans="1:14">
      <c r="A33" s="17">
        <v>44755</v>
      </c>
      <c r="B33" s="17">
        <v>44783</v>
      </c>
      <c r="C33" s="16">
        <v>28</v>
      </c>
      <c r="D33" s="16" t="s">
        <v>42</v>
      </c>
      <c r="E33" s="16">
        <v>180</v>
      </c>
      <c r="F33" s="16">
        <v>144</v>
      </c>
      <c r="G33" s="16">
        <v>72</v>
      </c>
      <c r="H33" s="16">
        <f>Tabla7[[#This Row],[P1 + P4]]*VLOOKUP(MONTH(Tabla7[[#This Row],[Fecha final]]),Tabla20[#All],2,FALSE)</f>
        <v>0</v>
      </c>
      <c r="I33" s="16">
        <f>Tabla7[[#This Row],[P2 + P5]]*VLOOKUP(MONTH(Tabla7[[#This Row],[Fecha final]]),Tabla20[#All],3,FALSE)</f>
        <v>0</v>
      </c>
      <c r="J33" s="16">
        <f>(Tabla7[[#This Row],[P3 + P6]])*VLOOKUP(MONTH(Tabla7[[#This Row],[Fecha final]]),Tabla20[#All],4,FALSE)</f>
        <v>24.1632</v>
      </c>
      <c r="K33" s="16">
        <f>Tabla7[[#This Row],[P1 + P4]]*VLOOKUP(MONTH(Tabla7[[#This Row],[Fecha final]]),Tabla20[#All],5,FALSE)</f>
        <v>180</v>
      </c>
      <c r="L33" s="16">
        <f>Tabla7[[#This Row],[P2 + P5]]*VLOOKUP(MONTH(Tabla7[[#This Row],[Fecha final]]),Tabla20[#All],6,FALSE)</f>
        <v>0</v>
      </c>
      <c r="M33" s="16">
        <f>Tabla7[[#This Row],[P3 + P6]]*VLOOKUP(MONTH(Tabla7[[#This Row],[Fecha final]]),Tabla20[#All],7,FALSE)</f>
        <v>47.836799999999997</v>
      </c>
      <c r="N33" s="16">
        <f>YEAR(Tabla7[[#This Row],[Fecha final]])</f>
        <v>2022</v>
      </c>
    </row>
    <row r="34" spans="1:14">
      <c r="A34" s="17">
        <v>44783</v>
      </c>
      <c r="B34" s="17">
        <v>44817</v>
      </c>
      <c r="C34" s="16">
        <v>34</v>
      </c>
      <c r="D34" s="16" t="s">
        <v>42</v>
      </c>
      <c r="E34" s="16">
        <v>191</v>
      </c>
      <c r="F34" s="16">
        <v>147</v>
      </c>
      <c r="G34" s="16">
        <v>94</v>
      </c>
      <c r="H34" s="16">
        <f>Tabla7[[#This Row],[P1 + P4]]*VLOOKUP(MONTH(Tabla7[[#This Row],[Fecha final]]),Tabla20[#All],2,FALSE)</f>
        <v>0</v>
      </c>
      <c r="I34" s="16">
        <f>Tabla7[[#This Row],[P2 + P5]]*VLOOKUP(MONTH(Tabla7[[#This Row],[Fecha final]]),Tabla20[#All],3,FALSE)</f>
        <v>0</v>
      </c>
      <c r="J34" s="16">
        <f>(Tabla7[[#This Row],[P3 + P6]])*VLOOKUP(MONTH(Tabla7[[#This Row],[Fecha final]]),Tabla20[#All],4,FALSE)</f>
        <v>32.8812</v>
      </c>
      <c r="K34" s="16">
        <f>Tabla7[[#This Row],[P1 + P4]]*VLOOKUP(MONTH(Tabla7[[#This Row],[Fecha final]]),Tabla20[#All],5,FALSE)</f>
        <v>191</v>
      </c>
      <c r="L34" s="16">
        <f>Tabla7[[#This Row],[P2 + P5]]*VLOOKUP(MONTH(Tabla7[[#This Row],[Fecha final]]),Tabla20[#All],6,FALSE)</f>
        <v>0</v>
      </c>
      <c r="M34" s="16">
        <f>Tabla7[[#This Row],[P3 + P6]]*VLOOKUP(MONTH(Tabla7[[#This Row],[Fecha final]]),Tabla20[#All],7,FALSE)</f>
        <v>61.1188</v>
      </c>
      <c r="N34" s="16">
        <f>YEAR(Tabla7[[#This Row],[Fecha final]])</f>
        <v>2022</v>
      </c>
    </row>
    <row r="35" spans="1:14">
      <c r="A35" s="17">
        <v>44817</v>
      </c>
      <c r="B35" s="17">
        <v>44849</v>
      </c>
      <c r="C35" s="16">
        <v>32</v>
      </c>
      <c r="D35" s="16" t="s">
        <v>42</v>
      </c>
      <c r="E35" s="16">
        <v>138</v>
      </c>
      <c r="F35" s="16">
        <v>98</v>
      </c>
      <c r="G35" s="16">
        <v>83</v>
      </c>
      <c r="H35" s="16">
        <f>Tabla7[[#This Row],[P1 + P4]]*VLOOKUP(MONTH(Tabla7[[#This Row],[Fecha final]]),Tabla20[#All],2,FALSE)</f>
        <v>0</v>
      </c>
      <c r="I35" s="16">
        <f>Tabla7[[#This Row],[P2 + P5]]*VLOOKUP(MONTH(Tabla7[[#This Row],[Fecha final]]),Tabla20[#All],3,FALSE)</f>
        <v>0</v>
      </c>
      <c r="J35" s="16">
        <f>(Tabla7[[#This Row],[P3 + P6]])*VLOOKUP(MONTH(Tabla7[[#This Row],[Fecha final]]),Tabla20[#All],4,FALSE)</f>
        <v>0</v>
      </c>
      <c r="K35" s="16">
        <f>Tabla7[[#This Row],[P1 + P4]]*VLOOKUP(MONTH(Tabla7[[#This Row],[Fecha final]]),Tabla20[#All],5,FALSE)</f>
        <v>138</v>
      </c>
      <c r="L35" s="16">
        <f>Tabla7[[#This Row],[P2 + P5]]*VLOOKUP(MONTH(Tabla7[[#This Row],[Fecha final]]),Tabla20[#All],6,FALSE)</f>
        <v>98</v>
      </c>
      <c r="M35" s="16">
        <f>Tabla7[[#This Row],[P3 + P6]]*VLOOKUP(MONTH(Tabla7[[#This Row],[Fecha final]]),Tabla20[#All],7,FALSE)</f>
        <v>83</v>
      </c>
      <c r="N35" s="16">
        <f>YEAR(Tabla7[[#This Row],[Fecha final]])</f>
        <v>2022</v>
      </c>
    </row>
    <row r="36" spans="1:14">
      <c r="A36" s="17">
        <v>44849</v>
      </c>
      <c r="B36" s="17">
        <v>44879</v>
      </c>
      <c r="C36" s="16">
        <v>30</v>
      </c>
      <c r="D36" s="16" t="s">
        <v>42</v>
      </c>
      <c r="E36" s="16">
        <v>134</v>
      </c>
      <c r="F36" s="16">
        <v>105</v>
      </c>
      <c r="G36" s="16">
        <v>81</v>
      </c>
      <c r="H36" s="16">
        <f>Tabla7[[#This Row],[P1 + P4]]*VLOOKUP(MONTH(Tabla7[[#This Row],[Fecha final]]),Tabla20[#All],2,FALSE)</f>
        <v>0</v>
      </c>
      <c r="I36" s="16">
        <f>Tabla7[[#This Row],[P2 + P5]]*VLOOKUP(MONTH(Tabla7[[#This Row],[Fecha final]]),Tabla20[#All],3,FALSE)</f>
        <v>105</v>
      </c>
      <c r="J36" s="16">
        <f>(Tabla7[[#This Row],[P3 + P6]])*VLOOKUP(MONTH(Tabla7[[#This Row],[Fecha final]]),Tabla20[#All],4,FALSE)</f>
        <v>22.4208</v>
      </c>
      <c r="K36" s="16">
        <f>Tabla7[[#This Row],[P1 + P4]]*VLOOKUP(MONTH(Tabla7[[#This Row],[Fecha final]]),Tabla20[#All],5,FALSE)</f>
        <v>0</v>
      </c>
      <c r="L36" s="16">
        <f>Tabla7[[#This Row],[P2 + P5]]*VLOOKUP(MONTH(Tabla7[[#This Row],[Fecha final]]),Tabla20[#All],6,FALSE)</f>
        <v>0</v>
      </c>
      <c r="M36" s="16">
        <f>Tabla7[[#This Row],[P3 + P6]]*VLOOKUP(MONTH(Tabla7[[#This Row],[Fecha final]]),Tabla20[#All],7,FALSE)</f>
        <v>58.579199999999993</v>
      </c>
      <c r="N36" s="16">
        <f>YEAR(Tabla7[[#This Row],[Fecha final]])</f>
        <v>2022</v>
      </c>
    </row>
    <row r="37" spans="1:14">
      <c r="A37" s="17">
        <v>44879</v>
      </c>
      <c r="B37" s="17">
        <v>44907</v>
      </c>
      <c r="C37" s="16">
        <v>28</v>
      </c>
      <c r="D37" s="16" t="s">
        <v>42</v>
      </c>
      <c r="E37" s="16">
        <v>162</v>
      </c>
      <c r="F37" s="16">
        <v>139</v>
      </c>
      <c r="G37" s="16">
        <v>86</v>
      </c>
      <c r="H37" s="16">
        <f>Tabla7[[#This Row],[P1 + P4]]*VLOOKUP(MONTH(Tabla7[[#This Row],[Fecha final]]),Tabla20[#All],2,FALSE)</f>
        <v>162</v>
      </c>
      <c r="I37" s="16">
        <f>Tabla7[[#This Row],[P2 + P5]]*VLOOKUP(MONTH(Tabla7[[#This Row],[Fecha final]]),Tabla20[#All],3,FALSE)</f>
        <v>139</v>
      </c>
      <c r="J37" s="16">
        <f>(Tabla7[[#This Row],[P3 + P6]])*VLOOKUP(MONTH(Tabla7[[#This Row],[Fecha final]]),Tabla20[#All],4,FALSE)</f>
        <v>0</v>
      </c>
      <c r="K37" s="16">
        <f>Tabla7[[#This Row],[P1 + P4]]*VLOOKUP(MONTH(Tabla7[[#This Row],[Fecha final]]),Tabla20[#All],5,FALSE)</f>
        <v>0</v>
      </c>
      <c r="L37" s="16">
        <f>Tabla7[[#This Row],[P2 + P5]]*VLOOKUP(MONTH(Tabla7[[#This Row],[Fecha final]]),Tabla20[#All],6,FALSE)</f>
        <v>0</v>
      </c>
      <c r="M37" s="16">
        <f>Tabla7[[#This Row],[P3 + P6]]*VLOOKUP(MONTH(Tabla7[[#This Row],[Fecha final]]),Tabla20[#All],7,FALSE)</f>
        <v>86</v>
      </c>
      <c r="N37" s="16">
        <f>YEAR(Tabla7[[#This Row],[Fecha final]])</f>
        <v>2022</v>
      </c>
    </row>
    <row r="38" spans="1:14" hidden="1">
      <c r="A38" s="17">
        <v>44907</v>
      </c>
      <c r="B38" s="17">
        <v>44941</v>
      </c>
      <c r="C38" s="16">
        <v>34</v>
      </c>
      <c r="D38" s="16" t="s">
        <v>42</v>
      </c>
      <c r="E38" s="16">
        <v>215</v>
      </c>
      <c r="F38" s="16">
        <v>204</v>
      </c>
      <c r="G38" s="16">
        <v>180</v>
      </c>
      <c r="H38" s="16">
        <f>Tabla7[[#This Row],[P1 + P4]]*VLOOKUP(MONTH(Tabla7[[#This Row],[Fecha final]]),Tabla20[#All],2,FALSE)</f>
        <v>215</v>
      </c>
      <c r="I38" s="16">
        <f>Tabla7[[#This Row],[P2 + P5]]*VLOOKUP(MONTH(Tabla7[[#This Row],[Fecha final]]),Tabla20[#All],3,FALSE)</f>
        <v>204</v>
      </c>
      <c r="J38" s="16">
        <f>(Tabla7[[#This Row],[P3 + P6]])*VLOOKUP(MONTH(Tabla7[[#This Row],[Fecha final]]),Tabla20[#All],4,FALSE)</f>
        <v>0</v>
      </c>
      <c r="K38" s="16">
        <f>Tabla7[[#This Row],[P1 + P4]]*VLOOKUP(MONTH(Tabla7[[#This Row],[Fecha final]]),Tabla20[#All],5,FALSE)</f>
        <v>0</v>
      </c>
      <c r="L38" s="16">
        <f>Tabla7[[#This Row],[P2 + P5]]*VLOOKUP(MONTH(Tabla7[[#This Row],[Fecha final]]),Tabla20[#All],6,FALSE)</f>
        <v>0</v>
      </c>
      <c r="M38" s="16">
        <f>Tabla7[[#This Row],[P3 + P6]]*VLOOKUP(MONTH(Tabla7[[#This Row],[Fecha final]]),Tabla20[#All],7,FALSE)</f>
        <v>180</v>
      </c>
      <c r="N38" s="16">
        <f>YEAR(Tabla7[[#This Row],[Fecha final]])</f>
        <v>2023</v>
      </c>
    </row>
    <row r="39" spans="1:14" hidden="1">
      <c r="A39" s="17">
        <v>44941</v>
      </c>
      <c r="B39" s="17">
        <v>44970</v>
      </c>
      <c r="C39" s="16">
        <v>29</v>
      </c>
      <c r="D39" s="16" t="s">
        <v>42</v>
      </c>
      <c r="E39" s="16">
        <v>409</v>
      </c>
      <c r="F39" s="16">
        <v>438</v>
      </c>
      <c r="G39" s="16">
        <v>154</v>
      </c>
      <c r="H39" s="16">
        <f>Tabla7[[#This Row],[P1 + P4]]*VLOOKUP(MONTH(Tabla7[[#This Row],[Fecha final]]),Tabla20[#All],2,FALSE)</f>
        <v>409</v>
      </c>
      <c r="I39" s="16">
        <f>Tabla7[[#This Row],[P2 + P5]]*VLOOKUP(MONTH(Tabla7[[#This Row],[Fecha final]]),Tabla20[#All],3,FALSE)</f>
        <v>438</v>
      </c>
      <c r="J39" s="16">
        <f>(Tabla7[[#This Row],[P3 + P6]])*VLOOKUP(MONTH(Tabla7[[#This Row],[Fecha final]]),Tabla20[#All],4,FALSE)</f>
        <v>0</v>
      </c>
      <c r="K39" s="16">
        <f>Tabla7[[#This Row],[P1 + P4]]*VLOOKUP(MONTH(Tabla7[[#This Row],[Fecha final]]),Tabla20[#All],5,FALSE)</f>
        <v>0</v>
      </c>
      <c r="L39" s="16">
        <f>Tabla7[[#This Row],[P2 + P5]]*VLOOKUP(MONTH(Tabla7[[#This Row],[Fecha final]]),Tabla20[#All],6,FALSE)</f>
        <v>0</v>
      </c>
      <c r="M39" s="16">
        <f>Tabla7[[#This Row],[P3 + P6]]*VLOOKUP(MONTH(Tabla7[[#This Row],[Fecha final]]),Tabla20[#All],7,FALSE)</f>
        <v>154</v>
      </c>
      <c r="N39" s="16">
        <f>YEAR(Tabla7[[#This Row],[Fecha final]])</f>
        <v>2023</v>
      </c>
    </row>
    <row r="40" spans="1:14" hidden="1">
      <c r="A40" s="17">
        <v>44970</v>
      </c>
      <c r="B40" s="17">
        <v>44997</v>
      </c>
      <c r="C40" s="16">
        <v>27</v>
      </c>
      <c r="D40" s="16" t="s">
        <v>42</v>
      </c>
      <c r="E40" s="16">
        <v>332</v>
      </c>
      <c r="F40" s="16">
        <v>328</v>
      </c>
      <c r="G40" s="16">
        <v>79</v>
      </c>
      <c r="H40" s="16">
        <f>Tabla7[[#This Row],[P1 + P4]]*VLOOKUP(MONTH(Tabla7[[#This Row],[Fecha final]]),Tabla20[#All],2,FALSE)</f>
        <v>0</v>
      </c>
      <c r="I40" s="16">
        <f>Tabla7[[#This Row],[P2 + P5]]*VLOOKUP(MONTH(Tabla7[[#This Row],[Fecha final]]),Tabla20[#All],3,FALSE)</f>
        <v>328</v>
      </c>
      <c r="J40" s="16">
        <f>(Tabla7[[#This Row],[P3 + P6]])*VLOOKUP(MONTH(Tabla7[[#This Row],[Fecha final]]),Tabla20[#All],4,FALSE)</f>
        <v>23.684200000000001</v>
      </c>
      <c r="K40" s="16">
        <f>Tabla7[[#This Row],[P1 + P4]]*VLOOKUP(MONTH(Tabla7[[#This Row],[Fecha final]]),Tabla20[#All],5,FALSE)</f>
        <v>0</v>
      </c>
      <c r="L40" s="16">
        <f>Tabla7[[#This Row],[P2 + P5]]*VLOOKUP(MONTH(Tabla7[[#This Row],[Fecha final]]),Tabla20[#All],6,FALSE)</f>
        <v>0</v>
      </c>
      <c r="M40" s="16">
        <f>Tabla7[[#This Row],[P3 + P6]]*VLOOKUP(MONTH(Tabla7[[#This Row],[Fecha final]]),Tabla20[#All],7,FALSE)</f>
        <v>55.315800000000003</v>
      </c>
      <c r="N40" s="16">
        <f>YEAR(Tabla7[[#This Row],[Fecha final]])</f>
        <v>2023</v>
      </c>
    </row>
    <row r="41" spans="1:14" hidden="1">
      <c r="A41" s="17">
        <v>44997</v>
      </c>
      <c r="B41" s="17">
        <v>45032</v>
      </c>
      <c r="C41" s="16">
        <v>35</v>
      </c>
      <c r="D41" s="16" t="s">
        <v>42</v>
      </c>
      <c r="E41" s="16">
        <v>235</v>
      </c>
      <c r="F41" s="16">
        <v>242</v>
      </c>
      <c r="G41" s="16">
        <v>119</v>
      </c>
      <c r="H41" s="16">
        <f>Tabla7[[#This Row],[P1 + P4]]*VLOOKUP(MONTH(Tabla7[[#This Row],[Fecha final]]),Tabla20[#All],2,FALSE)</f>
        <v>0</v>
      </c>
      <c r="I41" s="16">
        <f>Tabla7[[#This Row],[P2 + P5]]*VLOOKUP(MONTH(Tabla7[[#This Row],[Fecha final]]),Tabla20[#All],3,FALSE)</f>
        <v>0</v>
      </c>
      <c r="J41" s="16">
        <f>(Tabla7[[#This Row],[P3 + P6]])*VLOOKUP(MONTH(Tabla7[[#This Row],[Fecha final]]),Tabla20[#All],4,FALSE)</f>
        <v>0</v>
      </c>
      <c r="K41" s="16">
        <f>Tabla7[[#This Row],[P1 + P4]]*VLOOKUP(MONTH(Tabla7[[#This Row],[Fecha final]]),Tabla20[#All],5,FALSE)</f>
        <v>235</v>
      </c>
      <c r="L41" s="16">
        <f>Tabla7[[#This Row],[P2 + P5]]*VLOOKUP(MONTH(Tabla7[[#This Row],[Fecha final]]),Tabla20[#All],6,FALSE)</f>
        <v>242</v>
      </c>
      <c r="M41" s="16">
        <f>Tabla7[[#This Row],[P3 + P6]]*VLOOKUP(MONTH(Tabla7[[#This Row],[Fecha final]]),Tabla20[#All],7,FALSE)</f>
        <v>119</v>
      </c>
      <c r="N41" s="16">
        <f>YEAR(Tabla7[[#This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98</v>
      </c>
      <c r="B47" s="16" t="s">
        <v>99</v>
      </c>
      <c r="C47" s="16">
        <v>35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100</v>
      </c>
      <c r="B48" s="16" t="s">
        <v>98</v>
      </c>
      <c r="C48" s="16">
        <v>27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101</v>
      </c>
      <c r="B49" s="16" t="s">
        <v>100</v>
      </c>
      <c r="C49" s="16">
        <v>29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102</v>
      </c>
      <c r="B50" s="16" t="s">
        <v>101</v>
      </c>
      <c r="C50" s="16">
        <v>34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103</v>
      </c>
      <c r="B51" s="16" t="s">
        <v>102</v>
      </c>
      <c r="C51" s="16">
        <v>28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104</v>
      </c>
      <c r="B52" s="16" t="s">
        <v>103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105</v>
      </c>
      <c r="B53" s="16" t="s">
        <v>104</v>
      </c>
      <c r="C53" s="16">
        <v>32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106</v>
      </c>
      <c r="B54" s="16" t="s">
        <v>105</v>
      </c>
      <c r="C54" s="16">
        <v>34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107</v>
      </c>
      <c r="B55" s="16" t="s">
        <v>106</v>
      </c>
      <c r="C55" s="16">
        <v>28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108</v>
      </c>
      <c r="B56" s="16" t="s">
        <v>107</v>
      </c>
      <c r="C56" s="16">
        <v>29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109</v>
      </c>
      <c r="B57" s="16" t="s">
        <v>108</v>
      </c>
      <c r="C57" s="16">
        <v>34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110</v>
      </c>
      <c r="B58" s="16" t="s">
        <v>109</v>
      </c>
      <c r="C58" s="16">
        <v>29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111</v>
      </c>
      <c r="B59" s="16" t="s">
        <v>110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112</v>
      </c>
      <c r="B60" s="16" t="s">
        <v>111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113</v>
      </c>
      <c r="B61" s="16" t="s">
        <v>112</v>
      </c>
      <c r="C61" s="16">
        <v>30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114</v>
      </c>
      <c r="B62" s="16" t="s">
        <v>113</v>
      </c>
      <c r="C62" s="16">
        <v>11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115</v>
      </c>
      <c r="B63" s="16" t="s">
        <v>114</v>
      </c>
      <c r="C63" s="16">
        <v>30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116</v>
      </c>
      <c r="B64" s="16" t="s">
        <v>115</v>
      </c>
      <c r="C64" s="16">
        <v>10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117</v>
      </c>
      <c r="B65" s="16" t="s">
        <v>116</v>
      </c>
      <c r="C65" s="16">
        <v>29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118</v>
      </c>
      <c r="B66" s="16" t="s">
        <v>117</v>
      </c>
      <c r="C66" s="16">
        <v>33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119</v>
      </c>
      <c r="B67" s="16" t="s">
        <v>118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120</v>
      </c>
      <c r="B68" s="16" t="s">
        <v>119</v>
      </c>
      <c r="C68" s="16">
        <v>29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121</v>
      </c>
      <c r="B69" s="16" t="s">
        <v>120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121</v>
      </c>
      <c r="C70" s="16">
        <v>24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122</v>
      </c>
      <c r="B71" s="16" t="s">
        <v>51</v>
      </c>
      <c r="C71" s="16">
        <v>6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123</v>
      </c>
      <c r="B72" s="16" t="s">
        <v>122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124</v>
      </c>
      <c r="B73" s="16" t="s">
        <v>123</v>
      </c>
      <c r="C73" s="16">
        <v>35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125</v>
      </c>
      <c r="B74" s="16" t="s">
        <v>124</v>
      </c>
      <c r="C74" s="16">
        <v>28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126</v>
      </c>
      <c r="B75" s="16" t="s">
        <v>125</v>
      </c>
      <c r="C75" s="16">
        <v>27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127</v>
      </c>
      <c r="B76" s="16" t="s">
        <v>126</v>
      </c>
      <c r="C76" s="16">
        <v>31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128</v>
      </c>
      <c r="B77" s="16" t="s">
        <v>127</v>
      </c>
      <c r="C77" s="16">
        <v>33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129</v>
      </c>
      <c r="B78" s="16" t="s">
        <v>128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130</v>
      </c>
      <c r="B79" s="16" t="s">
        <v>129</v>
      </c>
      <c r="C79" s="16">
        <v>32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131</v>
      </c>
      <c r="B80" s="16" t="s">
        <v>130</v>
      </c>
      <c r="C80" s="16">
        <v>31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132</v>
      </c>
      <c r="B81" s="16" t="s">
        <v>131</v>
      </c>
      <c r="C81" s="16">
        <v>33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8.8000000000000007</v>
      </c>
      <c r="C87" s="16">
        <v>8.8000000000000007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98</v>
      </c>
      <c r="B89" s="16" t="s">
        <v>99</v>
      </c>
      <c r="C89" s="16">
        <v>35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100</v>
      </c>
      <c r="B90" s="16" t="s">
        <v>98</v>
      </c>
      <c r="C90" s="16">
        <v>27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101</v>
      </c>
      <c r="B91" s="16" t="s">
        <v>100</v>
      </c>
      <c r="C91" s="16">
        <v>29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102</v>
      </c>
      <c r="B92" s="16" t="s">
        <v>101</v>
      </c>
      <c r="C92" s="16">
        <v>34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103</v>
      </c>
      <c r="B93" s="16" t="s">
        <v>102</v>
      </c>
      <c r="C93" s="16">
        <v>28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104</v>
      </c>
      <c r="B94" s="16" t="s">
        <v>103</v>
      </c>
      <c r="C94" s="16">
        <v>30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105</v>
      </c>
      <c r="B95" s="16" t="s">
        <v>104</v>
      </c>
      <c r="C95" s="16">
        <v>32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106</v>
      </c>
      <c r="B96" s="16" t="s">
        <v>105</v>
      </c>
      <c r="C96" s="16">
        <v>34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107</v>
      </c>
      <c r="B97" s="16" t="s">
        <v>106</v>
      </c>
      <c r="C97" s="16">
        <v>28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108</v>
      </c>
      <c r="B98" s="16" t="s">
        <v>107</v>
      </c>
      <c r="C98" s="16">
        <v>29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109</v>
      </c>
      <c r="B99" s="16" t="s">
        <v>108</v>
      </c>
      <c r="C99" s="16">
        <v>34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110</v>
      </c>
      <c r="B100" s="16" t="s">
        <v>109</v>
      </c>
      <c r="C100" s="16">
        <v>29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111</v>
      </c>
      <c r="B101" s="16" t="s">
        <v>110</v>
      </c>
      <c r="C101" s="16">
        <v>31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112</v>
      </c>
      <c r="B102" s="16" t="s">
        <v>111</v>
      </c>
      <c r="C102" s="16">
        <v>28</v>
      </c>
      <c r="D102" s="16" t="s">
        <v>42</v>
      </c>
      <c r="E102" s="16">
        <v>8.8000000000000007</v>
      </c>
      <c r="F102" s="16">
        <v>8.8000000000000007</v>
      </c>
      <c r="G102" s="16">
        <v>0</v>
      </c>
    </row>
    <row r="103" spans="1:7">
      <c r="A103" s="16" t="s">
        <v>113</v>
      </c>
      <c r="B103" s="16" t="s">
        <v>112</v>
      </c>
      <c r="C103" s="16">
        <v>30</v>
      </c>
      <c r="D103" s="16" t="s">
        <v>42</v>
      </c>
      <c r="E103" s="16">
        <v>8.8000000000000007</v>
      </c>
      <c r="F103" s="16">
        <v>8.8000000000000007</v>
      </c>
      <c r="G103" s="16">
        <v>0</v>
      </c>
    </row>
    <row r="104" spans="1:7">
      <c r="A104" s="16" t="s">
        <v>114</v>
      </c>
      <c r="B104" s="16" t="s">
        <v>113</v>
      </c>
      <c r="C104" s="16">
        <v>11</v>
      </c>
      <c r="D104" s="16" t="s">
        <v>42</v>
      </c>
      <c r="E104" s="16">
        <v>8.8000000000000007</v>
      </c>
      <c r="F104" s="16">
        <v>8.8000000000000007</v>
      </c>
      <c r="G104" s="16">
        <v>0</v>
      </c>
    </row>
    <row r="105" spans="1:7">
      <c r="A105" s="16" t="s">
        <v>115</v>
      </c>
      <c r="B105" s="16" t="s">
        <v>114</v>
      </c>
      <c r="C105" s="16">
        <v>30</v>
      </c>
      <c r="D105" s="16" t="s">
        <v>42</v>
      </c>
      <c r="E105" s="16">
        <v>8.8000000000000007</v>
      </c>
      <c r="F105" s="16">
        <v>8.8000000000000007</v>
      </c>
      <c r="G105" s="16">
        <v>0</v>
      </c>
    </row>
    <row r="106" spans="1:7">
      <c r="A106" s="16" t="s">
        <v>116</v>
      </c>
      <c r="B106" s="16" t="s">
        <v>115</v>
      </c>
      <c r="C106" s="16">
        <v>10</v>
      </c>
      <c r="D106" s="16" t="s">
        <v>42</v>
      </c>
      <c r="E106" s="16">
        <v>8.8000000000000007</v>
      </c>
      <c r="F106" s="16">
        <v>8.8000000000000007</v>
      </c>
      <c r="G106" s="16">
        <v>0</v>
      </c>
    </row>
    <row r="107" spans="1:7">
      <c r="A107" s="16" t="s">
        <v>117</v>
      </c>
      <c r="B107" s="16" t="s">
        <v>116</v>
      </c>
      <c r="C107" s="16">
        <v>29</v>
      </c>
      <c r="D107" s="16" t="s">
        <v>42</v>
      </c>
      <c r="E107" s="16">
        <v>8.8000000000000007</v>
      </c>
      <c r="F107" s="16">
        <v>8.8000000000000007</v>
      </c>
      <c r="G107" s="16">
        <v>0</v>
      </c>
    </row>
    <row r="108" spans="1:7">
      <c r="A108" s="16" t="s">
        <v>118</v>
      </c>
      <c r="B108" s="16" t="s">
        <v>117</v>
      </c>
      <c r="C108" s="16">
        <v>33</v>
      </c>
      <c r="D108" s="16" t="s">
        <v>42</v>
      </c>
      <c r="E108" s="16">
        <v>8.8000000000000007</v>
      </c>
      <c r="F108" s="16">
        <v>8.8000000000000007</v>
      </c>
      <c r="G108" s="16">
        <v>0</v>
      </c>
    </row>
    <row r="109" spans="1:7">
      <c r="A109" s="16" t="s">
        <v>119</v>
      </c>
      <c r="B109" s="16" t="s">
        <v>118</v>
      </c>
      <c r="C109" s="16">
        <v>30</v>
      </c>
      <c r="D109" s="16" t="s">
        <v>42</v>
      </c>
      <c r="E109" s="16">
        <v>8.8000000000000007</v>
      </c>
      <c r="F109" s="16">
        <v>8.8000000000000007</v>
      </c>
      <c r="G109" s="16">
        <v>0</v>
      </c>
    </row>
    <row r="110" spans="1:7">
      <c r="A110" s="16" t="s">
        <v>120</v>
      </c>
      <c r="B110" s="16" t="s">
        <v>119</v>
      </c>
      <c r="C110" s="16">
        <v>29</v>
      </c>
      <c r="D110" s="16" t="s">
        <v>42</v>
      </c>
      <c r="E110" s="16">
        <v>8.8000000000000007</v>
      </c>
      <c r="F110" s="16">
        <v>8.8000000000000007</v>
      </c>
      <c r="G110" s="16">
        <v>0</v>
      </c>
    </row>
    <row r="111" spans="1:7">
      <c r="A111" s="16" t="s">
        <v>121</v>
      </c>
      <c r="B111" s="16" t="s">
        <v>120</v>
      </c>
      <c r="C111" s="16">
        <v>31</v>
      </c>
      <c r="D111" s="16" t="s">
        <v>42</v>
      </c>
      <c r="E111" s="16">
        <v>8.8000000000000007</v>
      </c>
      <c r="F111" s="16">
        <v>8.8000000000000007</v>
      </c>
      <c r="G111" s="16">
        <v>0</v>
      </c>
    </row>
    <row r="112" spans="1:7">
      <c r="A112" s="16" t="s">
        <v>51</v>
      </c>
      <c r="B112" s="16" t="s">
        <v>121</v>
      </c>
      <c r="C112" s="16">
        <v>24</v>
      </c>
      <c r="D112" s="16" t="s">
        <v>42</v>
      </c>
      <c r="E112" s="16">
        <v>8.8000000000000007</v>
      </c>
      <c r="F112" s="16">
        <v>8.8000000000000007</v>
      </c>
      <c r="G112" s="16">
        <v>0</v>
      </c>
    </row>
    <row r="113" spans="1:7">
      <c r="A113" s="16" t="s">
        <v>122</v>
      </c>
      <c r="B113" s="16" t="s">
        <v>51</v>
      </c>
      <c r="C113" s="16">
        <v>6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123</v>
      </c>
      <c r="B114" s="16" t="s">
        <v>122</v>
      </c>
      <c r="C114" s="16">
        <v>28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124</v>
      </c>
      <c r="B115" s="16" t="s">
        <v>123</v>
      </c>
      <c r="C115" s="16">
        <v>35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125</v>
      </c>
      <c r="B116" s="16" t="s">
        <v>124</v>
      </c>
      <c r="C116" s="16">
        <v>28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126</v>
      </c>
      <c r="B117" s="16" t="s">
        <v>125</v>
      </c>
      <c r="C117" s="16">
        <v>27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127</v>
      </c>
      <c r="B118" s="16" t="s">
        <v>126</v>
      </c>
      <c r="C118" s="16">
        <v>31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128</v>
      </c>
      <c r="B119" s="16" t="s">
        <v>127</v>
      </c>
      <c r="C119" s="16">
        <v>33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129</v>
      </c>
      <c r="B120" s="16" t="s">
        <v>128</v>
      </c>
      <c r="C120" s="16">
        <v>29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130</v>
      </c>
      <c r="B121" s="16" t="s">
        <v>129</v>
      </c>
      <c r="C121" s="16">
        <v>32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131</v>
      </c>
      <c r="B122" s="16" t="s">
        <v>130</v>
      </c>
      <c r="C122" s="16">
        <v>31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132</v>
      </c>
      <c r="B123" s="16" t="s">
        <v>131</v>
      </c>
      <c r="C123" s="16">
        <v>33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C129E-065E-44D7-9876-EE713EA1052C}">
  <dimension ref="A1:N129"/>
  <sheetViews>
    <sheetView topLeftCell="A4" workbookViewId="0">
      <selection activeCell="H27" sqref="H27:N2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133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12623</v>
      </c>
      <c r="C4" s="16">
        <v>9323</v>
      </c>
      <c r="D4" s="16">
        <v>13084</v>
      </c>
    </row>
    <row r="5" spans="1:14">
      <c r="A5" s="16" t="s">
        <v>36</v>
      </c>
      <c r="B5" s="16">
        <v>36</v>
      </c>
      <c r="C5" s="16">
        <v>26</v>
      </c>
      <c r="D5" s="16">
        <v>37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 hidden="1">
      <c r="A7" s="17">
        <v>43982</v>
      </c>
      <c r="B7" s="17">
        <v>44012</v>
      </c>
      <c r="C7" s="16">
        <v>30</v>
      </c>
      <c r="D7" s="16" t="s">
        <v>42</v>
      </c>
      <c r="E7" s="16">
        <v>661</v>
      </c>
      <c r="F7" s="16">
        <v>801</v>
      </c>
      <c r="G7" s="16">
        <v>246</v>
      </c>
      <c r="H7" s="16">
        <f>Tabla8[[#This Row],[P1 + P4]]*VLOOKUP(MONTH(Tabla8[[#This Row],[Fecha final]]),Tabla20[#All],2,FALSE)</f>
        <v>0</v>
      </c>
      <c r="I7" s="16">
        <f>Tabla8[[#This Row],[P2 + P5]]*VLOOKUP(MONTH(Tabla8[[#This Row],[Fecha final]]),Tabla20[#All],3,FALSE)</f>
        <v>0</v>
      </c>
      <c r="J7" s="16">
        <f>(Tabla8[[#This Row],[P3 + P6]])*VLOOKUP(MONTH(Tabla8[[#This Row],[Fecha final]]),Tabla20[#All],4,FALSE)</f>
        <v>86.050799999999995</v>
      </c>
      <c r="K7" s="16">
        <f>Tabla8[[#This Row],[P1 + P4]]*VLOOKUP(MONTH(Tabla8[[#This Row],[Fecha final]]),Tabla20[#All],5,FALSE)</f>
        <v>661</v>
      </c>
      <c r="L7" s="16">
        <f>Tabla8[[#This Row],[P2 + P5]]*VLOOKUP(MONTH(Tabla8[[#This Row],[Fecha final]]),Tabla20[#All],6,FALSE)</f>
        <v>0</v>
      </c>
      <c r="M7" s="16">
        <f>Tabla8[[#This Row],[P3 + P6]]*VLOOKUP(MONTH(Tabla8[[#This Row],[Fecha final]]),Tabla20[#All],7,FALSE)</f>
        <v>159.94919999999999</v>
      </c>
      <c r="N7" s="16">
        <f>YEAR(Tabla8[[#This Row],[Fecha final]])</f>
        <v>2020</v>
      </c>
    </row>
    <row r="8" spans="1:14" hidden="1">
      <c r="A8" s="17">
        <v>44012</v>
      </c>
      <c r="B8" s="17">
        <v>44043</v>
      </c>
      <c r="C8" s="16">
        <v>31</v>
      </c>
      <c r="D8" s="16" t="s">
        <v>42</v>
      </c>
      <c r="E8" s="16">
        <v>1119</v>
      </c>
      <c r="F8" s="16">
        <v>1197</v>
      </c>
      <c r="G8" s="16">
        <v>358</v>
      </c>
      <c r="H8" s="16">
        <f>Tabla8[[#This Row],[P1 + P4]]*VLOOKUP(MONTH(Tabla8[[#This Row],[Fecha final]]),Tabla20[#All],2,FALSE)</f>
        <v>1119</v>
      </c>
      <c r="I8" s="16">
        <f>Tabla8[[#This Row],[P2 + P5]]*VLOOKUP(MONTH(Tabla8[[#This Row],[Fecha final]]),Tabla20[#All],3,FALSE)</f>
        <v>1197</v>
      </c>
      <c r="J8" s="16">
        <f>(Tabla8[[#This Row],[P3 + P6]])*VLOOKUP(MONTH(Tabla8[[#This Row],[Fecha final]]),Tabla20[#All],4,FALSE)</f>
        <v>0</v>
      </c>
      <c r="K8" s="16">
        <f>Tabla8[[#This Row],[P1 + P4]]*VLOOKUP(MONTH(Tabla8[[#This Row],[Fecha final]]),Tabla20[#All],5,FALSE)</f>
        <v>0</v>
      </c>
      <c r="L8" s="16">
        <f>Tabla8[[#This Row],[P2 + P5]]*VLOOKUP(MONTH(Tabla8[[#This Row],[Fecha final]]),Tabla20[#All],6,FALSE)</f>
        <v>0</v>
      </c>
      <c r="M8" s="16">
        <f>Tabla8[[#This Row],[P3 + P6]]*VLOOKUP(MONTH(Tabla8[[#This Row],[Fecha final]]),Tabla20[#All],7,FALSE)</f>
        <v>358</v>
      </c>
      <c r="N8" s="16">
        <f>YEAR(Tabla8[[#This Row],[Fecha final]])</f>
        <v>2020</v>
      </c>
    </row>
    <row r="9" spans="1:14" hidden="1">
      <c r="A9" s="17">
        <v>44043</v>
      </c>
      <c r="B9" s="17">
        <v>44074</v>
      </c>
      <c r="C9" s="16">
        <v>31</v>
      </c>
      <c r="D9" s="16" t="s">
        <v>42</v>
      </c>
      <c r="E9" s="16">
        <v>1078</v>
      </c>
      <c r="F9" s="16">
        <v>1210</v>
      </c>
      <c r="G9" s="16">
        <v>435</v>
      </c>
      <c r="H9" s="16">
        <f>Tabla8[[#This Row],[P1 + P4]]*VLOOKUP(MONTH(Tabla8[[#This Row],[Fecha final]]),Tabla20[#All],2,FALSE)</f>
        <v>0</v>
      </c>
      <c r="I9" s="16">
        <f>Tabla8[[#This Row],[P2 + P5]]*VLOOKUP(MONTH(Tabla8[[#This Row],[Fecha final]]),Tabla20[#All],3,FALSE)</f>
        <v>0</v>
      </c>
      <c r="J9" s="16">
        <f>(Tabla8[[#This Row],[P3 + P6]])*VLOOKUP(MONTH(Tabla8[[#This Row],[Fecha final]]),Tabla20[#All],4,FALSE)</f>
        <v>145.98599999999999</v>
      </c>
      <c r="K9" s="16">
        <f>Tabla8[[#This Row],[P1 + P4]]*VLOOKUP(MONTH(Tabla8[[#This Row],[Fecha final]]),Tabla20[#All],5,FALSE)</f>
        <v>1078</v>
      </c>
      <c r="L9" s="16">
        <f>Tabla8[[#This Row],[P2 + P5]]*VLOOKUP(MONTH(Tabla8[[#This Row],[Fecha final]]),Tabla20[#All],6,FALSE)</f>
        <v>0</v>
      </c>
      <c r="M9" s="16">
        <f>Tabla8[[#This Row],[P3 + P6]]*VLOOKUP(MONTH(Tabla8[[#This Row],[Fecha final]]),Tabla20[#All],7,FALSE)</f>
        <v>289.01400000000001</v>
      </c>
      <c r="N9" s="16">
        <f>YEAR(Tabla8[[#This Row],[Fecha final]])</f>
        <v>2020</v>
      </c>
    </row>
    <row r="10" spans="1:14" hidden="1">
      <c r="A10" s="17">
        <v>44074</v>
      </c>
      <c r="B10" s="17">
        <v>44104</v>
      </c>
      <c r="C10" s="16">
        <v>30</v>
      </c>
      <c r="D10" s="16" t="s">
        <v>42</v>
      </c>
      <c r="E10" s="16">
        <v>700</v>
      </c>
      <c r="F10" s="16">
        <v>1128</v>
      </c>
      <c r="G10" s="16">
        <v>263</v>
      </c>
      <c r="H10" s="16">
        <f>Tabla8[[#This Row],[P1 + P4]]*VLOOKUP(MONTH(Tabla8[[#This Row],[Fecha final]]),Tabla20[#All],2,FALSE)</f>
        <v>0</v>
      </c>
      <c r="I10" s="16">
        <f>Tabla8[[#This Row],[P2 + P5]]*VLOOKUP(MONTH(Tabla8[[#This Row],[Fecha final]]),Tabla20[#All],3,FALSE)</f>
        <v>0</v>
      </c>
      <c r="J10" s="16">
        <f>(Tabla8[[#This Row],[P3 + P6]])*VLOOKUP(MONTH(Tabla8[[#This Row],[Fecha final]]),Tabla20[#All],4,FALSE)</f>
        <v>91.997399999999999</v>
      </c>
      <c r="K10" s="16">
        <f>Tabla8[[#This Row],[P1 + P4]]*VLOOKUP(MONTH(Tabla8[[#This Row],[Fecha final]]),Tabla20[#All],5,FALSE)</f>
        <v>700</v>
      </c>
      <c r="L10" s="16">
        <f>Tabla8[[#This Row],[P2 + P5]]*VLOOKUP(MONTH(Tabla8[[#This Row],[Fecha final]]),Tabla20[#All],6,FALSE)</f>
        <v>0</v>
      </c>
      <c r="M10" s="16">
        <f>Tabla8[[#This Row],[P3 + P6]]*VLOOKUP(MONTH(Tabla8[[#This Row],[Fecha final]]),Tabla20[#All],7,FALSE)</f>
        <v>171.0026</v>
      </c>
      <c r="N10" s="16">
        <f>YEAR(Tabla8[[#This Row],[Fecha final]])</f>
        <v>2020</v>
      </c>
    </row>
    <row r="11" spans="1:14" hidden="1">
      <c r="A11" s="17">
        <v>44104</v>
      </c>
      <c r="B11" s="17">
        <v>44135</v>
      </c>
      <c r="C11" s="16">
        <v>31</v>
      </c>
      <c r="D11" s="16" t="s">
        <v>42</v>
      </c>
      <c r="E11" s="16">
        <v>537</v>
      </c>
      <c r="F11" s="16">
        <v>1354</v>
      </c>
      <c r="G11" s="16">
        <v>309</v>
      </c>
      <c r="H11" s="16">
        <f>Tabla8[[#This Row],[P1 + P4]]*VLOOKUP(MONTH(Tabla8[[#This Row],[Fecha final]]),Tabla20[#All],2,FALSE)</f>
        <v>0</v>
      </c>
      <c r="I11" s="16">
        <f>Tabla8[[#This Row],[P2 + P5]]*VLOOKUP(MONTH(Tabla8[[#This Row],[Fecha final]]),Tabla20[#All],3,FALSE)</f>
        <v>0</v>
      </c>
      <c r="J11" s="16">
        <f>(Tabla8[[#This Row],[P3 + P6]])*VLOOKUP(MONTH(Tabla8[[#This Row],[Fecha final]]),Tabla20[#All],4,FALSE)</f>
        <v>0</v>
      </c>
      <c r="K11" s="16">
        <f>Tabla8[[#This Row],[P1 + P4]]*VLOOKUP(MONTH(Tabla8[[#This Row],[Fecha final]]),Tabla20[#All],5,FALSE)</f>
        <v>537</v>
      </c>
      <c r="L11" s="16">
        <f>Tabla8[[#This Row],[P2 + P5]]*VLOOKUP(MONTH(Tabla8[[#This Row],[Fecha final]]),Tabla20[#All],6,FALSE)</f>
        <v>1354</v>
      </c>
      <c r="M11" s="16">
        <f>Tabla8[[#This Row],[P3 + P6]]*VLOOKUP(MONTH(Tabla8[[#This Row],[Fecha final]]),Tabla20[#All],7,FALSE)</f>
        <v>309</v>
      </c>
      <c r="N11" s="16">
        <f>YEAR(Tabla8[[#This Row],[Fecha final]])</f>
        <v>2020</v>
      </c>
    </row>
    <row r="12" spans="1:14" hidden="1">
      <c r="A12" s="17">
        <v>44135</v>
      </c>
      <c r="B12" s="17">
        <v>44165</v>
      </c>
      <c r="C12" s="16">
        <v>30</v>
      </c>
      <c r="D12" s="16" t="s">
        <v>42</v>
      </c>
      <c r="E12" s="16">
        <v>430</v>
      </c>
      <c r="F12" s="16">
        <v>2367</v>
      </c>
      <c r="G12" s="16">
        <v>595</v>
      </c>
      <c r="H12" s="16">
        <f>Tabla8[[#This Row],[P1 + P4]]*VLOOKUP(MONTH(Tabla8[[#This Row],[Fecha final]]),Tabla20[#All],2,FALSE)</f>
        <v>0</v>
      </c>
      <c r="I12" s="16">
        <f>Tabla8[[#This Row],[P2 + P5]]*VLOOKUP(MONTH(Tabla8[[#This Row],[Fecha final]]),Tabla20[#All],3,FALSE)</f>
        <v>2367</v>
      </c>
      <c r="J12" s="16">
        <f>(Tabla8[[#This Row],[P3 + P6]])*VLOOKUP(MONTH(Tabla8[[#This Row],[Fecha final]]),Tabla20[#All],4,FALSE)</f>
        <v>164.696</v>
      </c>
      <c r="K12" s="16">
        <f>Tabla8[[#This Row],[P1 + P4]]*VLOOKUP(MONTH(Tabla8[[#This Row],[Fecha final]]),Tabla20[#All],5,FALSE)</f>
        <v>0</v>
      </c>
      <c r="L12" s="16">
        <f>Tabla8[[#This Row],[P2 + P5]]*VLOOKUP(MONTH(Tabla8[[#This Row],[Fecha final]]),Tabla20[#All],6,FALSE)</f>
        <v>0</v>
      </c>
      <c r="M12" s="16">
        <f>Tabla8[[#This Row],[P3 + P6]]*VLOOKUP(MONTH(Tabla8[[#This Row],[Fecha final]]),Tabla20[#All],7,FALSE)</f>
        <v>430.30399999999997</v>
      </c>
      <c r="N12" s="16">
        <f>YEAR(Tabla8[[#This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42</v>
      </c>
      <c r="E13" s="16">
        <v>421</v>
      </c>
      <c r="F13" s="16">
        <v>2641</v>
      </c>
      <c r="G13" s="16">
        <v>507</v>
      </c>
      <c r="H13" s="16">
        <f>Tabla8[[#This Row],[P1 + P4]]*VLOOKUP(MONTH(Tabla8[[#This Row],[Fecha final]]),Tabla20[#All],2,FALSE)</f>
        <v>421</v>
      </c>
      <c r="I13" s="16">
        <f>Tabla8[[#This Row],[P2 + P5]]*VLOOKUP(MONTH(Tabla8[[#This Row],[Fecha final]]),Tabla20[#All],3,FALSE)</f>
        <v>2641</v>
      </c>
      <c r="J13" s="16">
        <f>(Tabla8[[#This Row],[P3 + P6]])*VLOOKUP(MONTH(Tabla8[[#This Row],[Fecha final]]),Tabla20[#All],4,FALSE)</f>
        <v>0</v>
      </c>
      <c r="K13" s="16">
        <f>Tabla8[[#This Row],[P1 + P4]]*VLOOKUP(MONTH(Tabla8[[#This Row],[Fecha final]]),Tabla20[#All],5,FALSE)</f>
        <v>0</v>
      </c>
      <c r="L13" s="16">
        <f>Tabla8[[#This Row],[P2 + P5]]*VLOOKUP(MONTH(Tabla8[[#This Row],[Fecha final]]),Tabla20[#All],6,FALSE)</f>
        <v>0</v>
      </c>
      <c r="M13" s="16">
        <f>Tabla8[[#This Row],[P3 + P6]]*VLOOKUP(MONTH(Tabla8[[#This Row],[Fecha final]]),Tabla20[#All],7,FALSE)</f>
        <v>507</v>
      </c>
      <c r="N13" s="16">
        <f>YEAR(Tabla8[[#This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42</v>
      </c>
      <c r="E14" s="16">
        <v>456</v>
      </c>
      <c r="F14" s="16">
        <v>2698</v>
      </c>
      <c r="G14" s="16">
        <v>533</v>
      </c>
      <c r="H14" s="16">
        <f>Tabla8[[#This Row],[P1 + P4]]*VLOOKUP(MONTH(Tabla8[[#This Row],[Fecha final]]),Tabla20[#All],2,FALSE)</f>
        <v>456</v>
      </c>
      <c r="I14" s="16">
        <f>Tabla8[[#This Row],[P2 + P5]]*VLOOKUP(MONTH(Tabla8[[#This Row],[Fecha final]]),Tabla20[#All],3,FALSE)</f>
        <v>2698</v>
      </c>
      <c r="J14" s="16">
        <f>(Tabla8[[#This Row],[P3 + P6]])*VLOOKUP(MONTH(Tabla8[[#This Row],[Fecha final]]),Tabla20[#All],4,FALSE)</f>
        <v>0</v>
      </c>
      <c r="K14" s="16">
        <f>Tabla8[[#This Row],[P1 + P4]]*VLOOKUP(MONTH(Tabla8[[#This Row],[Fecha final]]),Tabla20[#All],5,FALSE)</f>
        <v>0</v>
      </c>
      <c r="L14" s="16">
        <f>Tabla8[[#This Row],[P2 + P5]]*VLOOKUP(MONTH(Tabla8[[#This Row],[Fecha final]]),Tabla20[#All],6,FALSE)</f>
        <v>0</v>
      </c>
      <c r="M14" s="16">
        <f>Tabla8[[#This Row],[P3 + P6]]*VLOOKUP(MONTH(Tabla8[[#This Row],[Fecha final]]),Tabla20[#All],7,FALSE)</f>
        <v>533</v>
      </c>
      <c r="N14" s="16">
        <f>YEAR(Tabla8[[#This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42</v>
      </c>
      <c r="E15" s="16">
        <v>444</v>
      </c>
      <c r="F15" s="16">
        <v>2305</v>
      </c>
      <c r="G15" s="16">
        <v>356</v>
      </c>
      <c r="H15" s="16">
        <f>Tabla8[[#This Row],[P1 + P4]]*VLOOKUP(MONTH(Tabla8[[#This Row],[Fecha final]]),Tabla20[#All],2,FALSE)</f>
        <v>444</v>
      </c>
      <c r="I15" s="16">
        <f>Tabla8[[#This Row],[P2 + P5]]*VLOOKUP(MONTH(Tabla8[[#This Row],[Fecha final]]),Tabla20[#All],3,FALSE)</f>
        <v>2305</v>
      </c>
      <c r="J15" s="16">
        <f>(Tabla8[[#This Row],[P3 + P6]])*VLOOKUP(MONTH(Tabla8[[#This Row],[Fecha final]]),Tabla20[#All],4,FALSE)</f>
        <v>0</v>
      </c>
      <c r="K15" s="16">
        <f>Tabla8[[#This Row],[P1 + P4]]*VLOOKUP(MONTH(Tabla8[[#This Row],[Fecha final]]),Tabla20[#All],5,FALSE)</f>
        <v>0</v>
      </c>
      <c r="L15" s="16">
        <f>Tabla8[[#This Row],[P2 + P5]]*VLOOKUP(MONTH(Tabla8[[#This Row],[Fecha final]]),Tabla20[#All],6,FALSE)</f>
        <v>0</v>
      </c>
      <c r="M15" s="16">
        <f>Tabla8[[#This Row],[P3 + P6]]*VLOOKUP(MONTH(Tabla8[[#This Row],[Fecha final]]),Tabla20[#All],7,FALSE)</f>
        <v>356</v>
      </c>
      <c r="N15" s="16">
        <f>YEAR(Tabla8[[#This Row],[Fecha final]])</f>
        <v>2021</v>
      </c>
    </row>
    <row r="16" spans="1:14" hidden="1">
      <c r="A16" s="17">
        <v>44255</v>
      </c>
      <c r="B16" s="17">
        <v>44286</v>
      </c>
      <c r="C16" s="16">
        <v>31</v>
      </c>
      <c r="D16" s="16" t="s">
        <v>42</v>
      </c>
      <c r="E16" s="16">
        <v>490</v>
      </c>
      <c r="F16" s="16">
        <v>2285</v>
      </c>
      <c r="G16" s="16">
        <v>400</v>
      </c>
      <c r="H16" s="16">
        <f>Tabla8[[#This Row],[P1 + P4]]*VLOOKUP(MONTH(Tabla8[[#This Row],[Fecha final]]),Tabla20[#All],2,FALSE)</f>
        <v>0</v>
      </c>
      <c r="I16" s="16">
        <f>Tabla8[[#This Row],[P2 + P5]]*VLOOKUP(MONTH(Tabla8[[#This Row],[Fecha final]]),Tabla20[#All],3,FALSE)</f>
        <v>2285</v>
      </c>
      <c r="J16" s="16">
        <f>(Tabla8[[#This Row],[P3 + P6]])*VLOOKUP(MONTH(Tabla8[[#This Row],[Fecha final]]),Tabla20[#All],4,FALSE)</f>
        <v>119.92</v>
      </c>
      <c r="K16" s="16">
        <f>Tabla8[[#This Row],[P1 + P4]]*VLOOKUP(MONTH(Tabla8[[#This Row],[Fecha final]]),Tabla20[#All],5,FALSE)</f>
        <v>0</v>
      </c>
      <c r="L16" s="16">
        <f>Tabla8[[#This Row],[P2 + P5]]*VLOOKUP(MONTH(Tabla8[[#This Row],[Fecha final]]),Tabla20[#All],6,FALSE)</f>
        <v>0</v>
      </c>
      <c r="M16" s="16">
        <f>Tabla8[[#This Row],[P3 + P6]]*VLOOKUP(MONTH(Tabla8[[#This Row],[Fecha final]]),Tabla20[#All],7,FALSE)</f>
        <v>280.08000000000004</v>
      </c>
      <c r="N16" s="16">
        <f>YEAR(Tabla8[[#This Row],[Fecha final]])</f>
        <v>2021</v>
      </c>
    </row>
    <row r="17" spans="1:14" hidden="1">
      <c r="A17" s="17">
        <v>44286</v>
      </c>
      <c r="B17" s="17">
        <v>44316</v>
      </c>
      <c r="C17" s="16">
        <v>30</v>
      </c>
      <c r="D17" s="16" t="s">
        <v>42</v>
      </c>
      <c r="E17" s="16">
        <v>651</v>
      </c>
      <c r="F17" s="16">
        <v>1577</v>
      </c>
      <c r="G17" s="16">
        <v>599</v>
      </c>
      <c r="H17" s="16">
        <f>Tabla8[[#This Row],[P1 + P4]]*VLOOKUP(MONTH(Tabla8[[#This Row],[Fecha final]]),Tabla20[#All],2,FALSE)</f>
        <v>0</v>
      </c>
      <c r="I17" s="16">
        <f>Tabla8[[#This Row],[P2 + P5]]*VLOOKUP(MONTH(Tabla8[[#This Row],[Fecha final]]),Tabla20[#All],3,FALSE)</f>
        <v>0</v>
      </c>
      <c r="J17" s="16">
        <f>(Tabla8[[#This Row],[P3 + P6]])*VLOOKUP(MONTH(Tabla8[[#This Row],[Fecha final]]),Tabla20[#All],4,FALSE)</f>
        <v>0</v>
      </c>
      <c r="K17" s="16">
        <f>Tabla8[[#This Row],[P1 + P4]]*VLOOKUP(MONTH(Tabla8[[#This Row],[Fecha final]]),Tabla20[#All],5,FALSE)</f>
        <v>651</v>
      </c>
      <c r="L17" s="16">
        <f>Tabla8[[#This Row],[P2 + P5]]*VLOOKUP(MONTH(Tabla8[[#This Row],[Fecha final]]),Tabla20[#All],6,FALSE)</f>
        <v>1577</v>
      </c>
      <c r="M17" s="16">
        <f>Tabla8[[#This Row],[P3 + P6]]*VLOOKUP(MONTH(Tabla8[[#This Row],[Fecha final]]),Tabla20[#All],7,FALSE)</f>
        <v>599</v>
      </c>
      <c r="N17" s="16">
        <f>YEAR(Tabla8[[#This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42</v>
      </c>
      <c r="E18" s="16">
        <v>462</v>
      </c>
      <c r="F18" s="16">
        <v>1165</v>
      </c>
      <c r="G18" s="16">
        <v>524</v>
      </c>
      <c r="H18" s="16">
        <f>Tabla8[[#This Row],[P1 + P4]]*VLOOKUP(MONTH(Tabla8[[#This Row],[Fecha final]]),Tabla20[#All],2,FALSE)</f>
        <v>0</v>
      </c>
      <c r="I18" s="16">
        <f>Tabla8[[#This Row],[P2 + P5]]*VLOOKUP(MONTH(Tabla8[[#This Row],[Fecha final]]),Tabla20[#All],3,FALSE)</f>
        <v>0</v>
      </c>
      <c r="J18" s="16">
        <f>(Tabla8[[#This Row],[P3 + P6]])*VLOOKUP(MONTH(Tabla8[[#This Row],[Fecha final]]),Tabla20[#All],4,FALSE)</f>
        <v>0</v>
      </c>
      <c r="K18" s="16">
        <f>Tabla8[[#This Row],[P1 + P4]]*VLOOKUP(MONTH(Tabla8[[#This Row],[Fecha final]]),Tabla20[#All],5,FALSE)</f>
        <v>462</v>
      </c>
      <c r="L18" s="16">
        <f>Tabla8[[#This Row],[P2 + P5]]*VLOOKUP(MONTH(Tabla8[[#This Row],[Fecha final]]),Tabla20[#All],6,FALSE)</f>
        <v>1165</v>
      </c>
      <c r="M18" s="16">
        <f>Tabla8[[#This Row],[P3 + P6]]*VLOOKUP(MONTH(Tabla8[[#This Row],[Fecha final]]),Tabla20[#All],7,FALSE)</f>
        <v>524</v>
      </c>
      <c r="N18" s="16">
        <f>YEAR(Tabla8[[#This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42</v>
      </c>
      <c r="E19" s="16">
        <v>992</v>
      </c>
      <c r="F19" s="16">
        <v>0</v>
      </c>
      <c r="G19" s="16">
        <v>1730</v>
      </c>
      <c r="H19" s="16">
        <f>Tabla8[[#This Row],[P1 + P4]]*VLOOKUP(MONTH(Tabla8[[#This Row],[Fecha final]]),Tabla20[#All],2,FALSE)</f>
        <v>0</v>
      </c>
      <c r="I19" s="16">
        <f>Tabla8[[#This Row],[P2 + P5]]*VLOOKUP(MONTH(Tabla8[[#This Row],[Fecha final]]),Tabla20[#All],3,FALSE)</f>
        <v>0</v>
      </c>
      <c r="J19" s="16">
        <f>(Tabla8[[#This Row],[P3 + P6]])*VLOOKUP(MONTH(Tabla8[[#This Row],[Fecha final]]),Tabla20[#All],4,FALSE)</f>
        <v>605.154</v>
      </c>
      <c r="K19" s="16">
        <f>Tabla8[[#This Row],[P1 + P4]]*VLOOKUP(MONTH(Tabla8[[#This Row],[Fecha final]]),Tabla20[#All],5,FALSE)</f>
        <v>992</v>
      </c>
      <c r="L19" s="16">
        <f>Tabla8[[#This Row],[P2 + P5]]*VLOOKUP(MONTH(Tabla8[[#This Row],[Fecha final]]),Tabla20[#All],6,FALSE)</f>
        <v>0</v>
      </c>
      <c r="M19" s="16">
        <f>Tabla8[[#This Row],[P3 + P6]]*VLOOKUP(MONTH(Tabla8[[#This Row],[Fecha final]]),Tabla20[#All],7,FALSE)</f>
        <v>1124.846</v>
      </c>
      <c r="N19" s="16">
        <f>YEAR(Tabla8[[#This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42</v>
      </c>
      <c r="E20" s="16">
        <v>1556</v>
      </c>
      <c r="F20" s="16">
        <v>1036</v>
      </c>
      <c r="G20" s="16">
        <v>430</v>
      </c>
      <c r="H20" s="16">
        <f>Tabla8[[#This Row],[P1 + P4]]*VLOOKUP(MONTH(Tabla8[[#This Row],[Fecha final]]),Tabla20[#All],2,FALSE)</f>
        <v>1556</v>
      </c>
      <c r="I20" s="16">
        <f>Tabla8[[#This Row],[P2 + P5]]*VLOOKUP(MONTH(Tabla8[[#This Row],[Fecha final]]),Tabla20[#All],3,FALSE)</f>
        <v>1036</v>
      </c>
      <c r="J20" s="16">
        <f>(Tabla8[[#This Row],[P3 + P6]])*VLOOKUP(MONTH(Tabla8[[#This Row],[Fecha final]]),Tabla20[#All],4,FALSE)</f>
        <v>0</v>
      </c>
      <c r="K20" s="16">
        <f>Tabla8[[#This Row],[P1 + P4]]*VLOOKUP(MONTH(Tabla8[[#This Row],[Fecha final]]),Tabla20[#All],5,FALSE)</f>
        <v>0</v>
      </c>
      <c r="L20" s="16">
        <f>Tabla8[[#This Row],[P2 + P5]]*VLOOKUP(MONTH(Tabla8[[#This Row],[Fecha final]]),Tabla20[#All],6,FALSE)</f>
        <v>0</v>
      </c>
      <c r="M20" s="16">
        <f>Tabla8[[#This Row],[P3 + P6]]*VLOOKUP(MONTH(Tabla8[[#This Row],[Fecha final]]),Tabla20[#All],7,FALSE)</f>
        <v>430</v>
      </c>
      <c r="N20" s="16">
        <f>YEAR(Tabla8[[#This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42</v>
      </c>
      <c r="E21" s="16">
        <v>835</v>
      </c>
      <c r="F21" s="16">
        <v>0</v>
      </c>
      <c r="G21" s="16">
        <v>1885</v>
      </c>
      <c r="H21" s="16">
        <f>Tabla8[[#This Row],[P1 + P4]]*VLOOKUP(MONTH(Tabla8[[#This Row],[Fecha final]]),Tabla20[#All],2,FALSE)</f>
        <v>0</v>
      </c>
      <c r="I21" s="16">
        <f>Tabla8[[#This Row],[P2 + P5]]*VLOOKUP(MONTH(Tabla8[[#This Row],[Fecha final]]),Tabla20[#All],3,FALSE)</f>
        <v>0</v>
      </c>
      <c r="J21" s="16">
        <f>(Tabla8[[#This Row],[P3 + P6]])*VLOOKUP(MONTH(Tabla8[[#This Row],[Fecha final]]),Tabla20[#All],4,FALSE)</f>
        <v>632.60599999999999</v>
      </c>
      <c r="K21" s="16">
        <f>Tabla8[[#This Row],[P1 + P4]]*VLOOKUP(MONTH(Tabla8[[#This Row],[Fecha final]]),Tabla20[#All],5,FALSE)</f>
        <v>835</v>
      </c>
      <c r="L21" s="16">
        <f>Tabla8[[#This Row],[P2 + P5]]*VLOOKUP(MONTH(Tabla8[[#This Row],[Fecha final]]),Tabla20[#All],6,FALSE)</f>
        <v>0</v>
      </c>
      <c r="M21" s="16">
        <f>Tabla8[[#This Row],[P3 + P6]]*VLOOKUP(MONTH(Tabla8[[#This Row],[Fecha final]]),Tabla20[#All],7,FALSE)</f>
        <v>1252.394</v>
      </c>
      <c r="N21" s="16">
        <f>YEAR(Tabla8[[#This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42</v>
      </c>
      <c r="E22" s="16">
        <v>953</v>
      </c>
      <c r="F22" s="16">
        <v>0</v>
      </c>
      <c r="G22" s="16">
        <v>1643</v>
      </c>
      <c r="H22" s="16">
        <f>Tabla8[[#This Row],[P1 + P4]]*VLOOKUP(MONTH(Tabla8[[#This Row],[Fecha final]]),Tabla20[#All],2,FALSE)</f>
        <v>0</v>
      </c>
      <c r="I22" s="16">
        <f>Tabla8[[#This Row],[P2 + P5]]*VLOOKUP(MONTH(Tabla8[[#This Row],[Fecha final]]),Tabla20[#All],3,FALSE)</f>
        <v>0</v>
      </c>
      <c r="J22" s="16">
        <f>(Tabla8[[#This Row],[P3 + P6]])*VLOOKUP(MONTH(Tabla8[[#This Row],[Fecha final]]),Tabla20[#All],4,FALSE)</f>
        <v>574.72140000000002</v>
      </c>
      <c r="K22" s="16">
        <f>Tabla8[[#This Row],[P1 + P4]]*VLOOKUP(MONTH(Tabla8[[#This Row],[Fecha final]]),Tabla20[#All],5,FALSE)</f>
        <v>953</v>
      </c>
      <c r="L22" s="16">
        <f>Tabla8[[#This Row],[P2 + P5]]*VLOOKUP(MONTH(Tabla8[[#This Row],[Fecha final]]),Tabla20[#All],6,FALSE)</f>
        <v>0</v>
      </c>
      <c r="M22" s="16">
        <f>Tabla8[[#This Row],[P3 + P6]]*VLOOKUP(MONTH(Tabla8[[#This Row],[Fecha final]]),Tabla20[#All],7,FALSE)</f>
        <v>1068.2786000000001</v>
      </c>
      <c r="N22" s="16">
        <f>YEAR(Tabla8[[#This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42</v>
      </c>
      <c r="E23" s="16">
        <v>807</v>
      </c>
      <c r="F23" s="16">
        <v>544</v>
      </c>
      <c r="G23" s="16">
        <v>412</v>
      </c>
      <c r="H23" s="16">
        <f>Tabla8[[#This Row],[P1 + P4]]*VLOOKUP(MONTH(Tabla8[[#This Row],[Fecha final]]),Tabla20[#All],2,FALSE)</f>
        <v>0</v>
      </c>
      <c r="I23" s="16">
        <f>Tabla8[[#This Row],[P2 + P5]]*VLOOKUP(MONTH(Tabla8[[#This Row],[Fecha final]]),Tabla20[#All],3,FALSE)</f>
        <v>0</v>
      </c>
      <c r="J23" s="16">
        <f>(Tabla8[[#This Row],[P3 + P6]])*VLOOKUP(MONTH(Tabla8[[#This Row],[Fecha final]]),Tabla20[#All],4,FALSE)</f>
        <v>0</v>
      </c>
      <c r="K23" s="16">
        <f>Tabla8[[#This Row],[P1 + P4]]*VLOOKUP(MONTH(Tabla8[[#This Row],[Fecha final]]),Tabla20[#All],5,FALSE)</f>
        <v>807</v>
      </c>
      <c r="L23" s="16">
        <f>Tabla8[[#This Row],[P2 + P5]]*VLOOKUP(MONTH(Tabla8[[#This Row],[Fecha final]]),Tabla20[#All],6,FALSE)</f>
        <v>544</v>
      </c>
      <c r="M23" s="16">
        <f>Tabla8[[#This Row],[P3 + P6]]*VLOOKUP(MONTH(Tabla8[[#This Row],[Fecha final]]),Tabla20[#All],7,FALSE)</f>
        <v>412</v>
      </c>
      <c r="N23" s="16">
        <f>YEAR(Tabla8[[#This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1538</v>
      </c>
      <c r="G24" s="16">
        <v>1546</v>
      </c>
      <c r="H24" s="16">
        <f>Tabla8[[#This Row],[P1 + P4]]*VLOOKUP(MONTH(Tabla8[[#This Row],[Fecha final]]),Tabla20[#All],2,FALSE)</f>
        <v>0</v>
      </c>
      <c r="I24" s="16">
        <f>Tabla8[[#This Row],[P2 + P5]]*VLOOKUP(MONTH(Tabla8[[#This Row],[Fecha final]]),Tabla20[#All],3,FALSE)</f>
        <v>1538</v>
      </c>
      <c r="J24" s="16">
        <f>(Tabla8[[#This Row],[P3 + P6]])*VLOOKUP(MONTH(Tabla8[[#This Row],[Fecha final]]),Tabla20[#All],4,FALSE)</f>
        <v>427.93279999999999</v>
      </c>
      <c r="K24" s="16">
        <f>Tabla8[[#This Row],[P1 + P4]]*VLOOKUP(MONTH(Tabla8[[#This Row],[Fecha final]]),Tabla20[#All],5,FALSE)</f>
        <v>0</v>
      </c>
      <c r="L24" s="16">
        <f>Tabla8[[#This Row],[P2 + P5]]*VLOOKUP(MONTH(Tabla8[[#This Row],[Fecha final]]),Tabla20[#All],6,FALSE)</f>
        <v>0</v>
      </c>
      <c r="M24" s="16">
        <f>Tabla8[[#This Row],[P3 + P6]]*VLOOKUP(MONTH(Tabla8[[#This Row],[Fecha final]]),Tabla20[#All],7,FALSE)</f>
        <v>1118.0672</v>
      </c>
      <c r="N24" s="16">
        <f>YEAR(Tabla8[[#This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42</v>
      </c>
      <c r="E25" s="16">
        <v>168</v>
      </c>
      <c r="F25" s="16">
        <v>112</v>
      </c>
      <c r="G25" s="16">
        <v>29</v>
      </c>
      <c r="H25" s="16">
        <f>Tabla8[[#This Row],[P1 + P4]]*VLOOKUP(MONTH(Tabla8[[#This Row],[Fecha final]]),Tabla20[#All],2,FALSE)</f>
        <v>168</v>
      </c>
      <c r="I25" s="16">
        <f>Tabla8[[#This Row],[P2 + P5]]*VLOOKUP(MONTH(Tabla8[[#This Row],[Fecha final]]),Tabla20[#All],3,FALSE)</f>
        <v>112</v>
      </c>
      <c r="J25" s="16">
        <f>(Tabla8[[#This Row],[P3 + P6]])*VLOOKUP(MONTH(Tabla8[[#This Row],[Fecha final]]),Tabla20[#All],4,FALSE)</f>
        <v>0</v>
      </c>
      <c r="K25" s="16">
        <f>Tabla8[[#This Row],[P1 + P4]]*VLOOKUP(MONTH(Tabla8[[#This Row],[Fecha final]]),Tabla20[#All],5,FALSE)</f>
        <v>0</v>
      </c>
      <c r="L25" s="16">
        <f>Tabla8[[#This Row],[P2 + P5]]*VLOOKUP(MONTH(Tabla8[[#This Row],[Fecha final]]),Tabla20[#All],6,FALSE)</f>
        <v>0</v>
      </c>
      <c r="M25" s="16">
        <f>Tabla8[[#This Row],[P3 + P6]]*VLOOKUP(MONTH(Tabla8[[#This Row],[Fecha final]]),Tabla20[#All],7,FALSE)</f>
        <v>29</v>
      </c>
      <c r="N25" s="16">
        <f>YEAR(Tabla8[[#This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42</v>
      </c>
      <c r="E26" s="16">
        <v>1641</v>
      </c>
      <c r="F26" s="16">
        <v>1077</v>
      </c>
      <c r="G26" s="16">
        <v>624</v>
      </c>
      <c r="H26" s="16">
        <f>Tabla8[[#This Row],[P1 + P4]]*VLOOKUP(MONTH(Tabla8[[#This Row],[Fecha final]]),Tabla20[#All],2,FALSE)</f>
        <v>1641</v>
      </c>
      <c r="I26" s="16">
        <f>Tabla8[[#This Row],[P2 + P5]]*VLOOKUP(MONTH(Tabla8[[#This Row],[Fecha final]]),Tabla20[#All],3,FALSE)</f>
        <v>1077</v>
      </c>
      <c r="J26" s="16">
        <f>(Tabla8[[#This Row],[P3 + P6]])*VLOOKUP(MONTH(Tabla8[[#This Row],[Fecha final]]),Tabla20[#All],4,FALSE)</f>
        <v>0</v>
      </c>
      <c r="K26" s="16">
        <f>Tabla8[[#This Row],[P1 + P4]]*VLOOKUP(MONTH(Tabla8[[#This Row],[Fecha final]]),Tabla20[#All],5,FALSE)</f>
        <v>0</v>
      </c>
      <c r="L26" s="16">
        <f>Tabla8[[#This Row],[P2 + P5]]*VLOOKUP(MONTH(Tabla8[[#This Row],[Fecha final]]),Tabla20[#All],6,FALSE)</f>
        <v>0</v>
      </c>
      <c r="M26" s="16">
        <f>Tabla8[[#This Row],[P3 + P6]]*VLOOKUP(MONTH(Tabla8[[#This Row],[Fecha final]]),Tabla20[#All],7,FALSE)</f>
        <v>624</v>
      </c>
      <c r="N26" s="16">
        <f>YEAR(Tabla8[[#This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2093</v>
      </c>
      <c r="F27" s="16">
        <v>1239</v>
      </c>
      <c r="G27" s="16">
        <v>725</v>
      </c>
      <c r="H27" s="16">
        <f>Tabla8[[#This Row],[P1 + P4]]*VLOOKUP(MONTH(Tabla8[[#This Row],[Fecha final]]),Tabla20[#All],2,FALSE)</f>
        <v>2093</v>
      </c>
      <c r="I27" s="16">
        <f>Tabla8[[#This Row],[P2 + P5]]*VLOOKUP(MONTH(Tabla8[[#This Row],[Fecha final]]),Tabla20[#All],3,FALSE)</f>
        <v>1239</v>
      </c>
      <c r="J27" s="16">
        <f>(Tabla8[[#This Row],[P3 + P6]])*VLOOKUP(MONTH(Tabla8[[#This Row],[Fecha final]]),Tabla20[#All],4,FALSE)</f>
        <v>0</v>
      </c>
      <c r="K27" s="16">
        <f>Tabla8[[#This Row],[P1 + P4]]*VLOOKUP(MONTH(Tabla8[[#This Row],[Fecha final]]),Tabla20[#All],5,FALSE)</f>
        <v>0</v>
      </c>
      <c r="L27" s="16">
        <f>Tabla8[[#This Row],[P2 + P5]]*VLOOKUP(MONTH(Tabla8[[#This Row],[Fecha final]]),Tabla20[#All],6,FALSE)</f>
        <v>0</v>
      </c>
      <c r="M27" s="16">
        <f>Tabla8[[#This Row],[P3 + P6]]*VLOOKUP(MONTH(Tabla8[[#This Row],[Fecha final]]),Tabla20[#All],7,FALSE)</f>
        <v>725</v>
      </c>
      <c r="N27" s="16">
        <f>YEAR(Tabla8[[#This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1679</v>
      </c>
      <c r="F28" s="16">
        <v>1106</v>
      </c>
      <c r="G28" s="16">
        <v>578</v>
      </c>
      <c r="H28" s="16">
        <f>Tabla8[[#This Row],[P1 + P4]]*VLOOKUP(MONTH(Tabla8[[#This Row],[Fecha final]]),Tabla20[#All],2,FALSE)</f>
        <v>1679</v>
      </c>
      <c r="I28" s="16">
        <f>Tabla8[[#This Row],[P2 + P5]]*VLOOKUP(MONTH(Tabla8[[#This Row],[Fecha final]]),Tabla20[#All],3,FALSE)</f>
        <v>1106</v>
      </c>
      <c r="J28" s="16">
        <f>(Tabla8[[#This Row],[P3 + P6]])*VLOOKUP(MONTH(Tabla8[[#This Row],[Fecha final]]),Tabla20[#All],4,FALSE)</f>
        <v>0</v>
      </c>
      <c r="K28" s="16">
        <f>Tabla8[[#This Row],[P1 + P4]]*VLOOKUP(MONTH(Tabla8[[#This Row],[Fecha final]]),Tabla20[#All],5,FALSE)</f>
        <v>0</v>
      </c>
      <c r="L28" s="16">
        <f>Tabla8[[#This Row],[P2 + P5]]*VLOOKUP(MONTH(Tabla8[[#This Row],[Fecha final]]),Tabla20[#All],6,FALSE)</f>
        <v>0</v>
      </c>
      <c r="M28" s="16">
        <f>Tabla8[[#This Row],[P3 + P6]]*VLOOKUP(MONTH(Tabla8[[#This Row],[Fecha final]]),Tabla20[#All],7,FALSE)</f>
        <v>578</v>
      </c>
      <c r="N28" s="16">
        <f>YEAR(Tabla8[[#This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1689</v>
      </c>
      <c r="G29" s="16">
        <v>1935</v>
      </c>
      <c r="H29" s="16">
        <f>Tabla8[[#This Row],[P1 + P4]]*VLOOKUP(MONTH(Tabla8[[#This Row],[Fecha final]]),Tabla20[#All],2,FALSE)</f>
        <v>0</v>
      </c>
      <c r="I29" s="16">
        <f>Tabla8[[#This Row],[P2 + P5]]*VLOOKUP(MONTH(Tabla8[[#This Row],[Fecha final]]),Tabla20[#All],3,FALSE)</f>
        <v>1689</v>
      </c>
      <c r="J29" s="16">
        <f>(Tabla8[[#This Row],[P3 + P6]])*VLOOKUP(MONTH(Tabla8[[#This Row],[Fecha final]]),Tabla20[#All],4,FALSE)</f>
        <v>580.11300000000006</v>
      </c>
      <c r="K29" s="16">
        <f>Tabla8[[#This Row],[P1 + P4]]*VLOOKUP(MONTH(Tabla8[[#This Row],[Fecha final]]),Tabla20[#All],5,FALSE)</f>
        <v>0</v>
      </c>
      <c r="L29" s="16">
        <f>Tabla8[[#This Row],[P2 + P5]]*VLOOKUP(MONTH(Tabla8[[#This Row],[Fecha final]]),Tabla20[#All],6,FALSE)</f>
        <v>0</v>
      </c>
      <c r="M29" s="16">
        <f>Tabla8[[#This Row],[P3 + P6]]*VLOOKUP(MONTH(Tabla8[[#This Row],[Fecha final]]),Tabla20[#All],7,FALSE)</f>
        <v>1354.8870000000002</v>
      </c>
      <c r="N29" s="16">
        <f>YEAR(Tabla8[[#This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1156</v>
      </c>
      <c r="F30" s="16">
        <v>830</v>
      </c>
      <c r="G30" s="16">
        <v>436</v>
      </c>
      <c r="H30" s="16">
        <f>Tabla8[[#This Row],[P1 + P4]]*VLOOKUP(MONTH(Tabla8[[#This Row],[Fecha final]]),Tabla20[#All],2,FALSE)</f>
        <v>0</v>
      </c>
      <c r="I30" s="16">
        <f>Tabla8[[#This Row],[P2 + P5]]*VLOOKUP(MONTH(Tabla8[[#This Row],[Fecha final]]),Tabla20[#All],3,FALSE)</f>
        <v>0</v>
      </c>
      <c r="J30" s="16">
        <f>(Tabla8[[#This Row],[P3 + P6]])*VLOOKUP(MONTH(Tabla8[[#This Row],[Fecha final]]),Tabla20[#All],4,FALSE)</f>
        <v>0</v>
      </c>
      <c r="K30" s="16">
        <f>Tabla8[[#This Row],[P1 + P4]]*VLOOKUP(MONTH(Tabla8[[#This Row],[Fecha final]]),Tabla20[#All],5,FALSE)</f>
        <v>1156</v>
      </c>
      <c r="L30" s="16">
        <f>Tabla8[[#This Row],[P2 + P5]]*VLOOKUP(MONTH(Tabla8[[#This Row],[Fecha final]]),Tabla20[#All],6,FALSE)</f>
        <v>830</v>
      </c>
      <c r="M30" s="16">
        <f>Tabla8[[#This Row],[P3 + P6]]*VLOOKUP(MONTH(Tabla8[[#This Row],[Fecha final]]),Tabla20[#All],7,FALSE)</f>
        <v>436</v>
      </c>
      <c r="N30" s="16">
        <f>YEAR(Tabla8[[#This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1032</v>
      </c>
      <c r="F31" s="16">
        <v>764</v>
      </c>
      <c r="G31" s="16">
        <v>397</v>
      </c>
      <c r="H31" s="16">
        <f>Tabla8[[#This Row],[P1 + P4]]*VLOOKUP(MONTH(Tabla8[[#This Row],[Fecha final]]),Tabla20[#All],2,FALSE)</f>
        <v>0</v>
      </c>
      <c r="I31" s="16">
        <f>Tabla8[[#This Row],[P2 + P5]]*VLOOKUP(MONTH(Tabla8[[#This Row],[Fecha final]]),Tabla20[#All],3,FALSE)</f>
        <v>0</v>
      </c>
      <c r="J31" s="16">
        <f>(Tabla8[[#This Row],[P3 + P6]])*VLOOKUP(MONTH(Tabla8[[#This Row],[Fecha final]]),Tabla20[#All],4,FALSE)</f>
        <v>0</v>
      </c>
      <c r="K31" s="16">
        <f>Tabla8[[#This Row],[P1 + P4]]*VLOOKUP(MONTH(Tabla8[[#This Row],[Fecha final]]),Tabla20[#All],5,FALSE)</f>
        <v>1032</v>
      </c>
      <c r="L31" s="16">
        <f>Tabla8[[#This Row],[P2 + P5]]*VLOOKUP(MONTH(Tabla8[[#This Row],[Fecha final]]),Tabla20[#All],6,FALSE)</f>
        <v>764</v>
      </c>
      <c r="M31" s="16">
        <f>Tabla8[[#This Row],[P3 + P6]]*VLOOKUP(MONTH(Tabla8[[#This Row],[Fecha final]]),Tabla20[#All],7,FALSE)</f>
        <v>397</v>
      </c>
      <c r="N31" s="16">
        <f>YEAR(Tabla8[[#This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1138</v>
      </c>
      <c r="F32" s="16">
        <v>0</v>
      </c>
      <c r="G32" s="16">
        <v>1883</v>
      </c>
      <c r="H32" s="16">
        <f>Tabla8[[#This Row],[P1 + P4]]*VLOOKUP(MONTH(Tabla8[[#This Row],[Fecha final]]),Tabla20[#All],2,FALSE)</f>
        <v>0</v>
      </c>
      <c r="I32" s="16">
        <f>Tabla8[[#This Row],[P2 + P5]]*VLOOKUP(MONTH(Tabla8[[#This Row],[Fecha final]]),Tabla20[#All],3,FALSE)</f>
        <v>0</v>
      </c>
      <c r="J32" s="16">
        <f>(Tabla8[[#This Row],[P3 + P6]])*VLOOKUP(MONTH(Tabla8[[#This Row],[Fecha final]]),Tabla20[#All],4,FALSE)</f>
        <v>658.67340000000002</v>
      </c>
      <c r="K32" s="16">
        <f>Tabla8[[#This Row],[P1 + P4]]*VLOOKUP(MONTH(Tabla8[[#This Row],[Fecha final]]),Tabla20[#All],5,FALSE)</f>
        <v>1138</v>
      </c>
      <c r="L32" s="16">
        <f>Tabla8[[#This Row],[P2 + P5]]*VLOOKUP(MONTH(Tabla8[[#This Row],[Fecha final]]),Tabla20[#All],6,FALSE)</f>
        <v>0</v>
      </c>
      <c r="M32" s="16">
        <f>Tabla8[[#This Row],[P3 + P6]]*VLOOKUP(MONTH(Tabla8[[#This Row],[Fecha final]]),Tabla20[#All],7,FALSE)</f>
        <v>1224.3266000000001</v>
      </c>
      <c r="N32" s="16">
        <f>YEAR(Tabla8[[#This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1724</v>
      </c>
      <c r="F33" s="16">
        <v>1367</v>
      </c>
      <c r="G33" s="16">
        <v>531</v>
      </c>
      <c r="H33" s="16">
        <f>Tabla8[[#This Row],[P1 + P4]]*VLOOKUP(MONTH(Tabla8[[#This Row],[Fecha final]]),Tabla20[#All],2,FALSE)</f>
        <v>1724</v>
      </c>
      <c r="I33" s="16">
        <f>Tabla8[[#This Row],[P2 + P5]]*VLOOKUP(MONTH(Tabla8[[#This Row],[Fecha final]]),Tabla20[#All],3,FALSE)</f>
        <v>1367</v>
      </c>
      <c r="J33" s="16">
        <f>(Tabla8[[#This Row],[P3 + P6]])*VLOOKUP(MONTH(Tabla8[[#This Row],[Fecha final]]),Tabla20[#All],4,FALSE)</f>
        <v>0</v>
      </c>
      <c r="K33" s="16">
        <f>Tabla8[[#This Row],[P1 + P4]]*VLOOKUP(MONTH(Tabla8[[#This Row],[Fecha final]]),Tabla20[#All],5,FALSE)</f>
        <v>0</v>
      </c>
      <c r="L33" s="16">
        <f>Tabla8[[#This Row],[P2 + P5]]*VLOOKUP(MONTH(Tabla8[[#This Row],[Fecha final]]),Tabla20[#All],6,FALSE)</f>
        <v>0</v>
      </c>
      <c r="M33" s="16">
        <f>Tabla8[[#This Row],[P3 + P6]]*VLOOKUP(MONTH(Tabla8[[#This Row],[Fecha final]]),Tabla20[#All],7,FALSE)</f>
        <v>531</v>
      </c>
      <c r="N33" s="16">
        <f>YEAR(Tabla8[[#This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910</v>
      </c>
      <c r="F34" s="16">
        <v>0</v>
      </c>
      <c r="G34" s="16">
        <v>2082</v>
      </c>
      <c r="H34" s="16">
        <f>Tabla8[[#This Row],[P1 + P4]]*VLOOKUP(MONTH(Tabla8[[#This Row],[Fecha final]]),Tabla20[#All],2,FALSE)</f>
        <v>0</v>
      </c>
      <c r="I34" s="16">
        <f>Tabla8[[#This Row],[P2 + P5]]*VLOOKUP(MONTH(Tabla8[[#This Row],[Fecha final]]),Tabla20[#All],3,FALSE)</f>
        <v>0</v>
      </c>
      <c r="J34" s="16">
        <f>(Tabla8[[#This Row],[P3 + P6]])*VLOOKUP(MONTH(Tabla8[[#This Row],[Fecha final]]),Tabla20[#All],4,FALSE)</f>
        <v>698.7192</v>
      </c>
      <c r="K34" s="16">
        <f>Tabla8[[#This Row],[P1 + P4]]*VLOOKUP(MONTH(Tabla8[[#This Row],[Fecha final]]),Tabla20[#All],5,FALSE)</f>
        <v>910</v>
      </c>
      <c r="L34" s="16">
        <f>Tabla8[[#This Row],[P2 + P5]]*VLOOKUP(MONTH(Tabla8[[#This Row],[Fecha final]]),Tabla20[#All],6,FALSE)</f>
        <v>0</v>
      </c>
      <c r="M34" s="16">
        <f>Tabla8[[#This Row],[P3 + P6]]*VLOOKUP(MONTH(Tabla8[[#This Row],[Fecha final]]),Tabla20[#All],7,FALSE)</f>
        <v>1383.2808</v>
      </c>
      <c r="N34" s="16">
        <f>YEAR(Tabla8[[#This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1016</v>
      </c>
      <c r="F35" s="16">
        <v>0</v>
      </c>
      <c r="G35" s="16">
        <v>1663</v>
      </c>
      <c r="H35" s="16">
        <f>Tabla8[[#This Row],[P1 + P4]]*VLOOKUP(MONTH(Tabla8[[#This Row],[Fecha final]]),Tabla20[#All],2,FALSE)</f>
        <v>0</v>
      </c>
      <c r="I35" s="16">
        <f>Tabla8[[#This Row],[P2 + P5]]*VLOOKUP(MONTH(Tabla8[[#This Row],[Fecha final]]),Tabla20[#All],3,FALSE)</f>
        <v>0</v>
      </c>
      <c r="J35" s="16">
        <f>(Tabla8[[#This Row],[P3 + P6]])*VLOOKUP(MONTH(Tabla8[[#This Row],[Fecha final]]),Tabla20[#All],4,FALSE)</f>
        <v>581.7174</v>
      </c>
      <c r="K35" s="16">
        <f>Tabla8[[#This Row],[P1 + P4]]*VLOOKUP(MONTH(Tabla8[[#This Row],[Fecha final]]),Tabla20[#All],5,FALSE)</f>
        <v>1016</v>
      </c>
      <c r="L35" s="16">
        <f>Tabla8[[#This Row],[P2 + P5]]*VLOOKUP(MONTH(Tabla8[[#This Row],[Fecha final]]),Tabla20[#All],6,FALSE)</f>
        <v>0</v>
      </c>
      <c r="M35" s="16">
        <f>Tabla8[[#This Row],[P3 + P6]]*VLOOKUP(MONTH(Tabla8[[#This Row],[Fecha final]]),Tabla20[#All],7,FALSE)</f>
        <v>1081.2826</v>
      </c>
      <c r="N35" s="16">
        <f>YEAR(Tabla8[[#This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795</v>
      </c>
      <c r="F36" s="16">
        <v>669</v>
      </c>
      <c r="G36" s="16">
        <v>332</v>
      </c>
      <c r="H36" s="16">
        <f>Tabla8[[#This Row],[P1 + P4]]*VLOOKUP(MONTH(Tabla8[[#This Row],[Fecha final]]),Tabla20[#All],2,FALSE)</f>
        <v>0</v>
      </c>
      <c r="I36" s="16">
        <f>Tabla8[[#This Row],[P2 + P5]]*VLOOKUP(MONTH(Tabla8[[#This Row],[Fecha final]]),Tabla20[#All],3,FALSE)</f>
        <v>0</v>
      </c>
      <c r="J36" s="16">
        <f>(Tabla8[[#This Row],[P3 + P6]])*VLOOKUP(MONTH(Tabla8[[#This Row],[Fecha final]]),Tabla20[#All],4,FALSE)</f>
        <v>0</v>
      </c>
      <c r="K36" s="16">
        <f>Tabla8[[#This Row],[P1 + P4]]*VLOOKUP(MONTH(Tabla8[[#This Row],[Fecha final]]),Tabla20[#All],5,FALSE)</f>
        <v>795</v>
      </c>
      <c r="L36" s="16">
        <f>Tabla8[[#This Row],[P2 + P5]]*VLOOKUP(MONTH(Tabla8[[#This Row],[Fecha final]]),Tabla20[#All],6,FALSE)</f>
        <v>669</v>
      </c>
      <c r="M36" s="16">
        <f>Tabla8[[#This Row],[P3 + P6]]*VLOOKUP(MONTH(Tabla8[[#This Row],[Fecha final]]),Tabla20[#All],7,FALSE)</f>
        <v>332</v>
      </c>
      <c r="N36" s="16">
        <f>YEAR(Tabla8[[#This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1043</v>
      </c>
      <c r="G37" s="16">
        <v>1233</v>
      </c>
      <c r="H37" s="16">
        <f>Tabla8[[#This Row],[P1 + P4]]*VLOOKUP(MONTH(Tabla8[[#This Row],[Fecha final]]),Tabla20[#All],2,FALSE)</f>
        <v>0</v>
      </c>
      <c r="I37" s="16">
        <f>Tabla8[[#This Row],[P2 + P5]]*VLOOKUP(MONTH(Tabla8[[#This Row],[Fecha final]]),Tabla20[#All],3,FALSE)</f>
        <v>1043</v>
      </c>
      <c r="J37" s="16">
        <f>(Tabla8[[#This Row],[P3 + P6]])*VLOOKUP(MONTH(Tabla8[[#This Row],[Fecha final]]),Tabla20[#All],4,FALSE)</f>
        <v>341.2944</v>
      </c>
      <c r="K37" s="16">
        <f>Tabla8[[#This Row],[P1 + P4]]*VLOOKUP(MONTH(Tabla8[[#This Row],[Fecha final]]),Tabla20[#All],5,FALSE)</f>
        <v>0</v>
      </c>
      <c r="L37" s="16">
        <f>Tabla8[[#This Row],[P2 + P5]]*VLOOKUP(MONTH(Tabla8[[#This Row],[Fecha final]]),Tabla20[#All],6,FALSE)</f>
        <v>0</v>
      </c>
      <c r="M37" s="16">
        <f>Tabla8[[#This Row],[P3 + P6]]*VLOOKUP(MONTH(Tabla8[[#This Row],[Fecha final]]),Tabla20[#All],7,FALSE)</f>
        <v>891.70559999999989</v>
      </c>
      <c r="N37" s="16">
        <f>YEAR(Tabla8[[#This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1245</v>
      </c>
      <c r="F38" s="16">
        <v>865</v>
      </c>
      <c r="G38" s="16">
        <v>579</v>
      </c>
      <c r="H38" s="16">
        <f>Tabla8[[#This Row],[P1 + P4]]*VLOOKUP(MONTH(Tabla8[[#This Row],[Fecha final]]),Tabla20[#All],2,FALSE)</f>
        <v>1245</v>
      </c>
      <c r="I38" s="16">
        <f>Tabla8[[#This Row],[P2 + P5]]*VLOOKUP(MONTH(Tabla8[[#This Row],[Fecha final]]),Tabla20[#All],3,FALSE)</f>
        <v>865</v>
      </c>
      <c r="J38" s="16">
        <f>(Tabla8[[#This Row],[P3 + P6]])*VLOOKUP(MONTH(Tabla8[[#This Row],[Fecha final]]),Tabla20[#All],4,FALSE)</f>
        <v>0</v>
      </c>
      <c r="K38" s="16">
        <f>Tabla8[[#This Row],[P1 + P4]]*VLOOKUP(MONTH(Tabla8[[#This Row],[Fecha final]]),Tabla20[#All],5,FALSE)</f>
        <v>0</v>
      </c>
      <c r="L38" s="16">
        <f>Tabla8[[#This Row],[P2 + P5]]*VLOOKUP(MONTH(Tabla8[[#This Row],[Fecha final]]),Tabla20[#All],6,FALSE)</f>
        <v>0</v>
      </c>
      <c r="M38" s="16">
        <f>Tabla8[[#This Row],[P3 + P6]]*VLOOKUP(MONTH(Tabla8[[#This Row],[Fecha final]]),Tabla20[#All],7,FALSE)</f>
        <v>579</v>
      </c>
      <c r="N38" s="16">
        <f>YEAR(Tabla8[[#This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42</v>
      </c>
      <c r="E39" s="16">
        <v>1864</v>
      </c>
      <c r="F39" s="16">
        <v>1216</v>
      </c>
      <c r="G39" s="16">
        <v>874</v>
      </c>
      <c r="H39" s="16">
        <f>Tabla8[[#This Row],[P1 + P4]]*VLOOKUP(MONTH(Tabla8[[#This Row],[Fecha final]]),Tabla20[#All],2,FALSE)</f>
        <v>1864</v>
      </c>
      <c r="I39" s="16">
        <f>Tabla8[[#This Row],[P2 + P5]]*VLOOKUP(MONTH(Tabla8[[#This Row],[Fecha final]]),Tabla20[#All],3,FALSE)</f>
        <v>1216</v>
      </c>
      <c r="J39" s="16">
        <f>(Tabla8[[#This Row],[P3 + P6]])*VLOOKUP(MONTH(Tabla8[[#This Row],[Fecha final]]),Tabla20[#All],4,FALSE)</f>
        <v>0</v>
      </c>
      <c r="K39" s="16">
        <f>Tabla8[[#This Row],[P1 + P4]]*VLOOKUP(MONTH(Tabla8[[#This Row],[Fecha final]]),Tabla20[#All],5,FALSE)</f>
        <v>0</v>
      </c>
      <c r="L39" s="16">
        <f>Tabla8[[#This Row],[P2 + P5]]*VLOOKUP(MONTH(Tabla8[[#This Row],[Fecha final]]),Tabla20[#All],6,FALSE)</f>
        <v>0</v>
      </c>
      <c r="M39" s="16">
        <f>Tabla8[[#This Row],[P3 + P6]]*VLOOKUP(MONTH(Tabla8[[#This Row],[Fecha final]]),Tabla20[#All],7,FALSE)</f>
        <v>874</v>
      </c>
      <c r="N39" s="16">
        <f>YEAR(Tabla8[[#This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42</v>
      </c>
      <c r="E40" s="16">
        <v>1743</v>
      </c>
      <c r="F40" s="16">
        <v>1152</v>
      </c>
      <c r="G40" s="16">
        <v>1067</v>
      </c>
      <c r="H40" s="16">
        <f>Tabla8[[#This Row],[P1 + P4]]*VLOOKUP(MONTH(Tabla8[[#This Row],[Fecha final]]),Tabla20[#All],2,FALSE)</f>
        <v>1743</v>
      </c>
      <c r="I40" s="16">
        <f>Tabla8[[#This Row],[P2 + P5]]*VLOOKUP(MONTH(Tabla8[[#This Row],[Fecha final]]),Tabla20[#All],3,FALSE)</f>
        <v>1152</v>
      </c>
      <c r="J40" s="16">
        <f>(Tabla8[[#This Row],[P3 + P6]])*VLOOKUP(MONTH(Tabla8[[#This Row],[Fecha final]]),Tabla20[#All],4,FALSE)</f>
        <v>0</v>
      </c>
      <c r="K40" s="16">
        <f>Tabla8[[#This Row],[P1 + P4]]*VLOOKUP(MONTH(Tabla8[[#This Row],[Fecha final]]),Tabla20[#All],5,FALSE)</f>
        <v>0</v>
      </c>
      <c r="L40" s="16">
        <f>Tabla8[[#This Row],[P2 + P5]]*VLOOKUP(MONTH(Tabla8[[#This Row],[Fecha final]]),Tabla20[#All],6,FALSE)</f>
        <v>0</v>
      </c>
      <c r="M40" s="16">
        <f>Tabla8[[#This Row],[P3 + P6]]*VLOOKUP(MONTH(Tabla8[[#This Row],[Fecha final]]),Tabla20[#All],7,FALSE)</f>
        <v>1067</v>
      </c>
      <c r="N40" s="16">
        <f>YEAR(Tabla8[[#This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1417</v>
      </c>
      <c r="G41" s="16">
        <v>2007</v>
      </c>
      <c r="H41" s="16">
        <f>Tabla8[[#This Row],[P1 + P4]]*VLOOKUP(MONTH(Tabla8[[#This Row],[Fecha final]]),Tabla20[#All],2,FALSE)</f>
        <v>0</v>
      </c>
      <c r="I41" s="16">
        <f>Tabla8[[#This Row],[P2 + P5]]*VLOOKUP(MONTH(Tabla8[[#This Row],[Fecha final]]),Tabla20[#All],3,FALSE)</f>
        <v>1417</v>
      </c>
      <c r="J41" s="16">
        <f>(Tabla8[[#This Row],[P3 + P6]])*VLOOKUP(MONTH(Tabla8[[#This Row],[Fecha final]]),Tabla20[#All],4,FALSE)</f>
        <v>601.69860000000006</v>
      </c>
      <c r="K41" s="16">
        <f>Tabla8[[#This Row],[P1 + P4]]*VLOOKUP(MONTH(Tabla8[[#This Row],[Fecha final]]),Tabla20[#All],5,FALSE)</f>
        <v>0</v>
      </c>
      <c r="L41" s="16">
        <f>Tabla8[[#This Row],[P2 + P5]]*VLOOKUP(MONTH(Tabla8[[#This Row],[Fecha final]]),Tabla20[#All],6,FALSE)</f>
        <v>0</v>
      </c>
      <c r="M41" s="16">
        <f>Tabla8[[#This Row],[P3 + P6]]*VLOOKUP(MONTH(Tabla8[[#This Row],[Fecha final]]),Tabla20[#All],7,FALSE)</f>
        <v>1405.3014000000001</v>
      </c>
      <c r="N41" s="16">
        <f>YEAR(Tabla8[[#This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2</v>
      </c>
      <c r="F70" s="16">
        <v>6</v>
      </c>
      <c r="G70" s="16">
        <v>3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5</v>
      </c>
      <c r="F71" s="16">
        <v>21</v>
      </c>
      <c r="G71" s="16">
        <v>6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26</v>
      </c>
      <c r="F72" s="16">
        <v>18</v>
      </c>
      <c r="G72" s="16">
        <v>4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34</v>
      </c>
      <c r="F73" s="16">
        <v>31</v>
      </c>
      <c r="G73" s="16">
        <v>9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14</v>
      </c>
      <c r="F74" s="16">
        <v>69</v>
      </c>
      <c r="G74" s="16">
        <v>28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10</v>
      </c>
      <c r="F75" s="16">
        <v>61</v>
      </c>
      <c r="G75" s="16">
        <v>23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11</v>
      </c>
      <c r="F76" s="16">
        <v>33</v>
      </c>
      <c r="G76" s="16">
        <v>37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3</v>
      </c>
      <c r="F77" s="16">
        <v>14</v>
      </c>
      <c r="G77" s="16">
        <v>15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8</v>
      </c>
      <c r="F78" s="16">
        <v>18</v>
      </c>
      <c r="G78" s="16">
        <v>11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31</v>
      </c>
      <c r="F79" s="16">
        <v>42</v>
      </c>
      <c r="G79" s="16">
        <v>14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29</v>
      </c>
      <c r="F80" s="16">
        <v>44</v>
      </c>
      <c r="G80" s="16">
        <v>15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10</v>
      </c>
      <c r="F81" s="16">
        <v>16</v>
      </c>
      <c r="G81" s="16">
        <v>7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31.5</v>
      </c>
      <c r="C87" s="16">
        <v>31.5</v>
      </c>
      <c r="D87" s="16">
        <v>31.5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23</v>
      </c>
      <c r="G89" s="16">
        <v>23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27</v>
      </c>
      <c r="F90" s="16">
        <v>23</v>
      </c>
      <c r="G90" s="16">
        <v>21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26</v>
      </c>
      <c r="F91" s="16">
        <v>22</v>
      </c>
      <c r="G91" s="16">
        <v>20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21</v>
      </c>
      <c r="F92" s="16">
        <v>19</v>
      </c>
      <c r="G92" s="16">
        <v>18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11</v>
      </c>
      <c r="G93" s="16">
        <v>10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6</v>
      </c>
      <c r="F94" s="16">
        <v>6</v>
      </c>
      <c r="G94" s="16">
        <v>4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15</v>
      </c>
      <c r="F95" s="16">
        <v>0</v>
      </c>
      <c r="G95" s="16">
        <v>14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15</v>
      </c>
      <c r="F96" s="16">
        <v>0</v>
      </c>
      <c r="G96" s="16">
        <v>16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16</v>
      </c>
      <c r="F97" s="16">
        <v>15</v>
      </c>
      <c r="G97" s="16">
        <v>14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15</v>
      </c>
      <c r="F98" s="16">
        <v>0</v>
      </c>
      <c r="G98" s="16">
        <v>16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12</v>
      </c>
      <c r="F99" s="16">
        <v>11</v>
      </c>
      <c r="G99" s="16">
        <v>8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19</v>
      </c>
      <c r="F100" s="16">
        <v>17</v>
      </c>
      <c r="G100" s="16">
        <v>15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18</v>
      </c>
      <c r="G101" s="16">
        <v>19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22</v>
      </c>
      <c r="F102" s="16">
        <v>22</v>
      </c>
      <c r="G102" s="16">
        <v>20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27</v>
      </c>
      <c r="F103" s="16">
        <v>23</v>
      </c>
      <c r="G103" s="16">
        <v>18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25</v>
      </c>
      <c r="F104" s="16">
        <v>26</v>
      </c>
      <c r="G104" s="16">
        <v>17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16</v>
      </c>
      <c r="F105" s="16">
        <v>14</v>
      </c>
      <c r="G105" s="16">
        <v>11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21</v>
      </c>
      <c r="G106" s="16">
        <v>19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12</v>
      </c>
      <c r="F107" s="16">
        <v>10</v>
      </c>
      <c r="G107" s="16">
        <v>9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14</v>
      </c>
      <c r="F108" s="16">
        <v>0</v>
      </c>
      <c r="G108" s="16">
        <v>12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13</v>
      </c>
      <c r="F109" s="16">
        <v>0</v>
      </c>
      <c r="G109" s="16">
        <v>14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15</v>
      </c>
      <c r="F110" s="16">
        <v>13</v>
      </c>
      <c r="G110" s="16">
        <v>11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13</v>
      </c>
      <c r="F111" s="16">
        <v>0</v>
      </c>
      <c r="G111" s="16">
        <v>14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3</v>
      </c>
      <c r="F112" s="16">
        <v>3</v>
      </c>
      <c r="G112" s="16">
        <v>2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7</v>
      </c>
      <c r="F113" s="16">
        <v>4</v>
      </c>
      <c r="G113" s="16">
        <v>3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9</v>
      </c>
      <c r="F114" s="16">
        <v>17</v>
      </c>
      <c r="G114" s="16">
        <v>13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9</v>
      </c>
      <c r="F115" s="16">
        <v>11</v>
      </c>
      <c r="G115" s="16">
        <v>11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0</v>
      </c>
      <c r="F116" s="16">
        <v>2</v>
      </c>
      <c r="G116" s="16">
        <v>0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10</v>
      </c>
      <c r="F117" s="16">
        <v>19</v>
      </c>
      <c r="G117" s="16">
        <v>15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10</v>
      </c>
      <c r="F118" s="16">
        <v>24</v>
      </c>
      <c r="G118" s="16">
        <v>15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11</v>
      </c>
      <c r="F119" s="16">
        <v>14</v>
      </c>
      <c r="G119" s="16">
        <v>12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0</v>
      </c>
      <c r="F120" s="16">
        <v>6</v>
      </c>
      <c r="G120" s="16">
        <v>0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0</v>
      </c>
      <c r="F121" s="16">
        <v>4</v>
      </c>
      <c r="G121" s="16">
        <v>0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16</v>
      </c>
      <c r="F122" s="16">
        <v>14</v>
      </c>
      <c r="G122" s="16">
        <v>13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14</v>
      </c>
      <c r="F123" s="16">
        <v>11</v>
      </c>
      <c r="G123" s="16">
        <v>11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18EE-1B3F-4996-8CA5-FB07EE1B09F4}">
  <dimension ref="A1:N129"/>
  <sheetViews>
    <sheetView workbookViewId="0">
      <selection activeCell="H6" sqref="H6:N6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134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11789</v>
      </c>
      <c r="C4" s="16">
        <v>8704</v>
      </c>
      <c r="D4" s="16">
        <v>9095</v>
      </c>
    </row>
    <row r="5" spans="1:14">
      <c r="A5" s="16" t="s">
        <v>36</v>
      </c>
      <c r="B5" s="16">
        <v>40</v>
      </c>
      <c r="C5" s="16">
        <v>29</v>
      </c>
      <c r="D5" s="16">
        <v>31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43951</v>
      </c>
      <c r="B7" s="17">
        <v>43982</v>
      </c>
      <c r="C7" s="16">
        <v>31</v>
      </c>
      <c r="D7" s="16" t="s">
        <v>42</v>
      </c>
      <c r="E7" s="16">
        <v>348</v>
      </c>
      <c r="F7" s="16">
        <v>521</v>
      </c>
      <c r="G7" s="16">
        <v>151</v>
      </c>
      <c r="H7" s="16">
        <f>Tabla9[[#This Row],[P1 + P4]]*VLOOKUP(MONTH(Tabla9[[#This Row],[Fecha final]]),Tabla20[#All],2,FALSE)</f>
        <v>0</v>
      </c>
      <c r="I7" s="16">
        <f>Tabla9[[#This Row],[P2 + P5]]*VLOOKUP(MONTH(Tabla9[[#This Row],[Fecha final]]),Tabla20[#All],3,FALSE)</f>
        <v>0</v>
      </c>
      <c r="J7" s="16">
        <f>(Tabla9[[#This Row],[P3 + P6]])*VLOOKUP(MONTH(Tabla9[[#This Row],[Fecha final]]),Tabla20[#All],4,FALSE)</f>
        <v>0</v>
      </c>
      <c r="K7" s="16">
        <f>Tabla9[[#This Row],[P1 + P4]]*VLOOKUP(MONTH(Tabla9[[#This Row],[Fecha final]]),Tabla20[#All],5,FALSE)</f>
        <v>348</v>
      </c>
      <c r="L7" s="16">
        <f>Tabla9[[#This Row],[P2 + P5]]*VLOOKUP(MONTH(Tabla9[[#This Row],[Fecha final]]),Tabla20[#All],6,FALSE)</f>
        <v>521</v>
      </c>
      <c r="M7" s="16">
        <f>Tabla9[[#This Row],[P3 + P6]]*VLOOKUP(MONTH(Tabla9[[#This Row],[Fecha final]]),Tabla20[#All],7,FALSE)</f>
        <v>151</v>
      </c>
      <c r="N7" s="16">
        <f>YEAR(Tabla9[[#This Row],[Fecha final]])</f>
        <v>2020</v>
      </c>
    </row>
    <row r="8" spans="1:14">
      <c r="A8" s="17">
        <v>43982</v>
      </c>
      <c r="B8" s="17">
        <v>44027</v>
      </c>
      <c r="C8" s="16">
        <v>45</v>
      </c>
      <c r="D8" s="16" t="s">
        <v>42</v>
      </c>
      <c r="E8" s="16">
        <v>1096</v>
      </c>
      <c r="F8" s="16">
        <v>1237</v>
      </c>
      <c r="G8" s="16">
        <v>280</v>
      </c>
      <c r="H8" s="16">
        <f>Tabla9[[#This Row],[P1 + P4]]*VLOOKUP(MONTH(Tabla9[[#This Row],[Fecha final]]),Tabla20[#All],2,FALSE)</f>
        <v>1096</v>
      </c>
      <c r="I8" s="16">
        <f>Tabla9[[#This Row],[P2 + P5]]*VLOOKUP(MONTH(Tabla9[[#This Row],[Fecha final]]),Tabla20[#All],3,FALSE)</f>
        <v>1237</v>
      </c>
      <c r="J8" s="16">
        <f>(Tabla9[[#This Row],[P3 + P6]])*VLOOKUP(MONTH(Tabla9[[#This Row],[Fecha final]]),Tabla20[#All],4,FALSE)</f>
        <v>0</v>
      </c>
      <c r="K8" s="16">
        <f>Tabla9[[#This Row],[P1 + P4]]*VLOOKUP(MONTH(Tabla9[[#This Row],[Fecha final]]),Tabla20[#All],5,FALSE)</f>
        <v>0</v>
      </c>
      <c r="L8" s="16">
        <f>Tabla9[[#This Row],[P2 + P5]]*VLOOKUP(MONTH(Tabla9[[#This Row],[Fecha final]]),Tabla20[#All],6,FALSE)</f>
        <v>0</v>
      </c>
      <c r="M8" s="16">
        <f>Tabla9[[#This Row],[P3 + P6]]*VLOOKUP(MONTH(Tabla9[[#This Row],[Fecha final]]),Tabla20[#All],7,FALSE)</f>
        <v>280</v>
      </c>
      <c r="N8" s="16">
        <f>YEAR(Tabla9[[#This Row],[Fecha final]])</f>
        <v>2020</v>
      </c>
    </row>
    <row r="9" spans="1:14">
      <c r="A9" s="17">
        <v>44027</v>
      </c>
      <c r="B9" s="17">
        <v>44068</v>
      </c>
      <c r="C9" s="16">
        <v>41</v>
      </c>
      <c r="D9" s="16" t="s">
        <v>42</v>
      </c>
      <c r="E9" s="16">
        <v>1475</v>
      </c>
      <c r="F9" s="16">
        <v>1419</v>
      </c>
      <c r="G9" s="16">
        <v>374</v>
      </c>
      <c r="H9" s="16">
        <f>Tabla9[[#This Row],[P1 + P4]]*VLOOKUP(MONTH(Tabla9[[#This Row],[Fecha final]]),Tabla20[#All],2,FALSE)</f>
        <v>0</v>
      </c>
      <c r="I9" s="16">
        <f>Tabla9[[#This Row],[P2 + P5]]*VLOOKUP(MONTH(Tabla9[[#This Row],[Fecha final]]),Tabla20[#All],3,FALSE)</f>
        <v>0</v>
      </c>
      <c r="J9" s="16">
        <f>(Tabla9[[#This Row],[P3 + P6]])*VLOOKUP(MONTH(Tabla9[[#This Row],[Fecha final]]),Tabla20[#All],4,FALSE)</f>
        <v>125.51440000000001</v>
      </c>
      <c r="K9" s="16">
        <f>Tabla9[[#This Row],[P1 + P4]]*VLOOKUP(MONTH(Tabla9[[#This Row],[Fecha final]]),Tabla20[#All],5,FALSE)</f>
        <v>1475</v>
      </c>
      <c r="L9" s="16">
        <f>Tabla9[[#This Row],[P2 + P5]]*VLOOKUP(MONTH(Tabla9[[#This Row],[Fecha final]]),Tabla20[#All],6,FALSE)</f>
        <v>0</v>
      </c>
      <c r="M9" s="16">
        <f>Tabla9[[#This Row],[P3 + P6]]*VLOOKUP(MONTH(Tabla9[[#This Row],[Fecha final]]),Tabla20[#All],7,FALSE)</f>
        <v>248.48560000000001</v>
      </c>
      <c r="N9" s="16">
        <f>YEAR(Tabla9[[#This Row],[Fecha final]])</f>
        <v>2020</v>
      </c>
    </row>
    <row r="10" spans="1:14">
      <c r="A10" s="17">
        <v>44068</v>
      </c>
      <c r="B10" s="17">
        <v>44098</v>
      </c>
      <c r="C10" s="16">
        <v>30</v>
      </c>
      <c r="D10" s="16" t="s">
        <v>42</v>
      </c>
      <c r="E10" s="16">
        <v>990</v>
      </c>
      <c r="F10" s="16">
        <v>1058</v>
      </c>
      <c r="G10" s="16">
        <v>234</v>
      </c>
      <c r="H10" s="16">
        <f>Tabla9[[#This Row],[P1 + P4]]*VLOOKUP(MONTH(Tabla9[[#This Row],[Fecha final]]),Tabla20[#All],2,FALSE)</f>
        <v>0</v>
      </c>
      <c r="I10" s="16">
        <f>Tabla9[[#This Row],[P2 + P5]]*VLOOKUP(MONTH(Tabla9[[#This Row],[Fecha final]]),Tabla20[#All],3,FALSE)</f>
        <v>0</v>
      </c>
      <c r="J10" s="16">
        <f>(Tabla9[[#This Row],[P3 + P6]])*VLOOKUP(MONTH(Tabla9[[#This Row],[Fecha final]]),Tabla20[#All],4,FALSE)</f>
        <v>81.853200000000001</v>
      </c>
      <c r="K10" s="16">
        <f>Tabla9[[#This Row],[P1 + P4]]*VLOOKUP(MONTH(Tabla9[[#This Row],[Fecha final]]),Tabla20[#All],5,FALSE)</f>
        <v>990</v>
      </c>
      <c r="L10" s="16">
        <f>Tabla9[[#This Row],[P2 + P5]]*VLOOKUP(MONTH(Tabla9[[#This Row],[Fecha final]]),Tabla20[#All],6,FALSE)</f>
        <v>0</v>
      </c>
      <c r="M10" s="16">
        <f>Tabla9[[#This Row],[P3 + P6]]*VLOOKUP(MONTH(Tabla9[[#This Row],[Fecha final]]),Tabla20[#All],7,FALSE)</f>
        <v>152.14680000000001</v>
      </c>
      <c r="N10" s="16">
        <f>YEAR(Tabla9[[#This Row],[Fecha final]])</f>
        <v>2020</v>
      </c>
    </row>
    <row r="11" spans="1:14">
      <c r="A11" s="17">
        <v>44098</v>
      </c>
      <c r="B11" s="17">
        <v>44130</v>
      </c>
      <c r="C11" s="16">
        <v>32</v>
      </c>
      <c r="D11" s="16" t="s">
        <v>42</v>
      </c>
      <c r="E11" s="16">
        <v>606</v>
      </c>
      <c r="F11" s="16">
        <v>979</v>
      </c>
      <c r="G11" s="16">
        <v>218</v>
      </c>
      <c r="H11" s="16">
        <f>Tabla9[[#This Row],[P1 + P4]]*VLOOKUP(MONTH(Tabla9[[#This Row],[Fecha final]]),Tabla20[#All],2,FALSE)</f>
        <v>0</v>
      </c>
      <c r="I11" s="16">
        <f>Tabla9[[#This Row],[P2 + P5]]*VLOOKUP(MONTH(Tabla9[[#This Row],[Fecha final]]),Tabla20[#All],3,FALSE)</f>
        <v>0</v>
      </c>
      <c r="J11" s="16">
        <f>(Tabla9[[#This Row],[P3 + P6]])*VLOOKUP(MONTH(Tabla9[[#This Row],[Fecha final]]),Tabla20[#All],4,FALSE)</f>
        <v>0</v>
      </c>
      <c r="K11" s="16">
        <f>Tabla9[[#This Row],[P1 + P4]]*VLOOKUP(MONTH(Tabla9[[#This Row],[Fecha final]]),Tabla20[#All],5,FALSE)</f>
        <v>606</v>
      </c>
      <c r="L11" s="16">
        <f>Tabla9[[#This Row],[P2 + P5]]*VLOOKUP(MONTH(Tabla9[[#This Row],[Fecha final]]),Tabla20[#All],6,FALSE)</f>
        <v>979</v>
      </c>
      <c r="M11" s="16">
        <f>Tabla9[[#This Row],[P3 + P6]]*VLOOKUP(MONTH(Tabla9[[#This Row],[Fecha final]]),Tabla20[#All],7,FALSE)</f>
        <v>218</v>
      </c>
      <c r="N11" s="16">
        <f>YEAR(Tabla9[[#This Row],[Fecha final]])</f>
        <v>2020</v>
      </c>
    </row>
    <row r="12" spans="1:14">
      <c r="A12" s="17">
        <v>44130</v>
      </c>
      <c r="B12" s="17">
        <v>44165</v>
      </c>
      <c r="C12" s="16">
        <v>35</v>
      </c>
      <c r="D12" s="16" t="s">
        <v>42</v>
      </c>
      <c r="E12" s="16">
        <v>213</v>
      </c>
      <c r="F12" s="16">
        <v>1428</v>
      </c>
      <c r="G12" s="16">
        <v>238</v>
      </c>
      <c r="H12" s="16">
        <f>Tabla9[[#This Row],[P1 + P4]]*VLOOKUP(MONTH(Tabla9[[#This Row],[Fecha final]]),Tabla20[#All],2,FALSE)</f>
        <v>0</v>
      </c>
      <c r="I12" s="16">
        <f>Tabla9[[#This Row],[P2 + P5]]*VLOOKUP(MONTH(Tabla9[[#This Row],[Fecha final]]),Tabla20[#All],3,FALSE)</f>
        <v>1428</v>
      </c>
      <c r="J12" s="16">
        <f>(Tabla9[[#This Row],[P3 + P6]])*VLOOKUP(MONTH(Tabla9[[#This Row],[Fecha final]]),Tabla20[#All],4,FALSE)</f>
        <v>65.878399999999999</v>
      </c>
      <c r="K12" s="16">
        <f>Tabla9[[#This Row],[P1 + P4]]*VLOOKUP(MONTH(Tabla9[[#This Row],[Fecha final]]),Tabla20[#All],5,FALSE)</f>
        <v>0</v>
      </c>
      <c r="L12" s="16">
        <f>Tabla9[[#This Row],[P2 + P5]]*VLOOKUP(MONTH(Tabla9[[#This Row],[Fecha final]]),Tabla20[#All],6,FALSE)</f>
        <v>0</v>
      </c>
      <c r="M12" s="16">
        <f>Tabla9[[#This Row],[P3 + P6]]*VLOOKUP(MONTH(Tabla9[[#This Row],[Fecha final]]),Tabla20[#All],7,FALSE)</f>
        <v>172.1216</v>
      </c>
      <c r="N12" s="16">
        <f>YEAR(Tabla9[[#This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42</v>
      </c>
      <c r="E13" s="16">
        <v>270</v>
      </c>
      <c r="F13" s="16">
        <v>2279</v>
      </c>
      <c r="G13" s="16">
        <v>251</v>
      </c>
      <c r="H13" s="16">
        <f>Tabla9[[#This Row],[P1 + P4]]*VLOOKUP(MONTH(Tabla9[[#This Row],[Fecha final]]),Tabla20[#All],2,FALSE)</f>
        <v>270</v>
      </c>
      <c r="I13" s="16">
        <f>Tabla9[[#This Row],[P2 + P5]]*VLOOKUP(MONTH(Tabla9[[#This Row],[Fecha final]]),Tabla20[#All],3,FALSE)</f>
        <v>2279</v>
      </c>
      <c r="J13" s="16">
        <f>(Tabla9[[#This Row],[P3 + P6]])*VLOOKUP(MONTH(Tabla9[[#This Row],[Fecha final]]),Tabla20[#All],4,FALSE)</f>
        <v>0</v>
      </c>
      <c r="K13" s="16">
        <f>Tabla9[[#This Row],[P1 + P4]]*VLOOKUP(MONTH(Tabla9[[#This Row],[Fecha final]]),Tabla20[#All],5,FALSE)</f>
        <v>0</v>
      </c>
      <c r="L13" s="16">
        <f>Tabla9[[#This Row],[P2 + P5]]*VLOOKUP(MONTH(Tabla9[[#This Row],[Fecha final]]),Tabla20[#All],6,FALSE)</f>
        <v>0</v>
      </c>
      <c r="M13" s="16">
        <f>Tabla9[[#This Row],[P3 + P6]]*VLOOKUP(MONTH(Tabla9[[#This Row],[Fecha final]]),Tabla20[#All],7,FALSE)</f>
        <v>251</v>
      </c>
      <c r="N13" s="16">
        <f>YEAR(Tabla9[[#This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42</v>
      </c>
      <c r="E14" s="16">
        <v>373</v>
      </c>
      <c r="F14" s="16">
        <v>2197</v>
      </c>
      <c r="G14" s="16">
        <v>488</v>
      </c>
      <c r="H14" s="16">
        <f>Tabla9[[#This Row],[P1 + P4]]*VLOOKUP(MONTH(Tabla9[[#This Row],[Fecha final]]),Tabla20[#All],2,FALSE)</f>
        <v>373</v>
      </c>
      <c r="I14" s="16">
        <f>Tabla9[[#This Row],[P2 + P5]]*VLOOKUP(MONTH(Tabla9[[#This Row],[Fecha final]]),Tabla20[#All],3,FALSE)</f>
        <v>2197</v>
      </c>
      <c r="J14" s="16">
        <f>(Tabla9[[#This Row],[P3 + P6]])*VLOOKUP(MONTH(Tabla9[[#This Row],[Fecha final]]),Tabla20[#All],4,FALSE)</f>
        <v>0</v>
      </c>
      <c r="K14" s="16">
        <f>Tabla9[[#This Row],[P1 + P4]]*VLOOKUP(MONTH(Tabla9[[#This Row],[Fecha final]]),Tabla20[#All],5,FALSE)</f>
        <v>0</v>
      </c>
      <c r="L14" s="16">
        <f>Tabla9[[#This Row],[P2 + P5]]*VLOOKUP(MONTH(Tabla9[[#This Row],[Fecha final]]),Tabla20[#All],6,FALSE)</f>
        <v>0</v>
      </c>
      <c r="M14" s="16">
        <f>Tabla9[[#This Row],[P3 + P6]]*VLOOKUP(MONTH(Tabla9[[#This Row],[Fecha final]]),Tabla20[#All],7,FALSE)</f>
        <v>488</v>
      </c>
      <c r="N14" s="16">
        <f>YEAR(Tabla9[[#This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42</v>
      </c>
      <c r="E15" s="16">
        <v>234</v>
      </c>
      <c r="F15" s="16">
        <v>1992</v>
      </c>
      <c r="G15" s="16">
        <v>246</v>
      </c>
      <c r="H15" s="16">
        <f>Tabla9[[#This Row],[P1 + P4]]*VLOOKUP(MONTH(Tabla9[[#This Row],[Fecha final]]),Tabla20[#All],2,FALSE)</f>
        <v>234</v>
      </c>
      <c r="I15" s="16">
        <f>Tabla9[[#This Row],[P2 + P5]]*VLOOKUP(MONTH(Tabla9[[#This Row],[Fecha final]]),Tabla20[#All],3,FALSE)</f>
        <v>1992</v>
      </c>
      <c r="J15" s="16">
        <f>(Tabla9[[#This Row],[P3 + P6]])*VLOOKUP(MONTH(Tabla9[[#This Row],[Fecha final]]),Tabla20[#All],4,FALSE)</f>
        <v>0</v>
      </c>
      <c r="K15" s="16">
        <f>Tabla9[[#This Row],[P1 + P4]]*VLOOKUP(MONTH(Tabla9[[#This Row],[Fecha final]]),Tabla20[#All],5,FALSE)</f>
        <v>0</v>
      </c>
      <c r="L15" s="16">
        <f>Tabla9[[#This Row],[P2 + P5]]*VLOOKUP(MONTH(Tabla9[[#This Row],[Fecha final]]),Tabla20[#All],6,FALSE)</f>
        <v>0</v>
      </c>
      <c r="M15" s="16">
        <f>Tabla9[[#This Row],[P3 + P6]]*VLOOKUP(MONTH(Tabla9[[#This Row],[Fecha final]]),Tabla20[#All],7,FALSE)</f>
        <v>246</v>
      </c>
      <c r="N15" s="16">
        <f>YEAR(Tabla9[[#This Row],[Fecha final]])</f>
        <v>2021</v>
      </c>
    </row>
    <row r="16" spans="1:14">
      <c r="A16" s="17">
        <v>44255</v>
      </c>
      <c r="B16" s="17">
        <v>44291</v>
      </c>
      <c r="C16" s="16">
        <v>36</v>
      </c>
      <c r="D16" s="16" t="s">
        <v>42</v>
      </c>
      <c r="E16" s="16">
        <v>624</v>
      </c>
      <c r="F16" s="16">
        <v>1246</v>
      </c>
      <c r="G16" s="16">
        <v>265</v>
      </c>
      <c r="H16" s="16">
        <f>Tabla9[[#This Row],[P1 + P4]]*VLOOKUP(MONTH(Tabla9[[#This Row],[Fecha final]]),Tabla20[#All],2,FALSE)</f>
        <v>0</v>
      </c>
      <c r="I16" s="16">
        <f>Tabla9[[#This Row],[P2 + P5]]*VLOOKUP(MONTH(Tabla9[[#This Row],[Fecha final]]),Tabla20[#All],3,FALSE)</f>
        <v>0</v>
      </c>
      <c r="J16" s="16">
        <f>(Tabla9[[#This Row],[P3 + P6]])*VLOOKUP(MONTH(Tabla9[[#This Row],[Fecha final]]),Tabla20[#All],4,FALSE)</f>
        <v>0</v>
      </c>
      <c r="K16" s="16">
        <f>Tabla9[[#This Row],[P1 + P4]]*VLOOKUP(MONTH(Tabla9[[#This Row],[Fecha final]]),Tabla20[#All],5,FALSE)</f>
        <v>624</v>
      </c>
      <c r="L16" s="16">
        <f>Tabla9[[#This Row],[P2 + P5]]*VLOOKUP(MONTH(Tabla9[[#This Row],[Fecha final]]),Tabla20[#All],6,FALSE)</f>
        <v>1246</v>
      </c>
      <c r="M16" s="16">
        <f>Tabla9[[#This Row],[P3 + P6]]*VLOOKUP(MONTH(Tabla9[[#This Row],[Fecha final]]),Tabla20[#All],7,FALSE)</f>
        <v>265</v>
      </c>
      <c r="N16" s="16">
        <f>YEAR(Tabla9[[#This Row],[Fecha final]])</f>
        <v>2021</v>
      </c>
    </row>
    <row r="17" spans="1:14">
      <c r="A17" s="17">
        <v>44291</v>
      </c>
      <c r="B17" s="17">
        <v>44316</v>
      </c>
      <c r="C17" s="16">
        <v>25</v>
      </c>
      <c r="D17" s="16" t="s">
        <v>42</v>
      </c>
      <c r="E17" s="16">
        <v>528</v>
      </c>
      <c r="F17" s="16">
        <v>1359</v>
      </c>
      <c r="G17" s="16">
        <v>616</v>
      </c>
      <c r="H17" s="16">
        <f>Tabla9[[#This Row],[P1 + P4]]*VLOOKUP(MONTH(Tabla9[[#This Row],[Fecha final]]),Tabla20[#All],2,FALSE)</f>
        <v>0</v>
      </c>
      <c r="I17" s="16">
        <f>Tabla9[[#This Row],[P2 + P5]]*VLOOKUP(MONTH(Tabla9[[#This Row],[Fecha final]]),Tabla20[#All],3,FALSE)</f>
        <v>0</v>
      </c>
      <c r="J17" s="16">
        <f>(Tabla9[[#This Row],[P3 + P6]])*VLOOKUP(MONTH(Tabla9[[#This Row],[Fecha final]]),Tabla20[#All],4,FALSE)</f>
        <v>0</v>
      </c>
      <c r="K17" s="16">
        <f>Tabla9[[#This Row],[P1 + P4]]*VLOOKUP(MONTH(Tabla9[[#This Row],[Fecha final]]),Tabla20[#All],5,FALSE)</f>
        <v>528</v>
      </c>
      <c r="L17" s="16">
        <f>Tabla9[[#This Row],[P2 + P5]]*VLOOKUP(MONTH(Tabla9[[#This Row],[Fecha final]]),Tabla20[#All],6,FALSE)</f>
        <v>1359</v>
      </c>
      <c r="M17" s="16">
        <f>Tabla9[[#This Row],[P3 + P6]]*VLOOKUP(MONTH(Tabla9[[#This Row],[Fecha final]]),Tabla20[#All],7,FALSE)</f>
        <v>616</v>
      </c>
      <c r="N17" s="16">
        <f>YEAR(Tabla9[[#This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42</v>
      </c>
      <c r="E18" s="16">
        <v>307</v>
      </c>
      <c r="F18" s="16">
        <v>773</v>
      </c>
      <c r="G18" s="16">
        <v>348</v>
      </c>
      <c r="H18" s="16">
        <f>Tabla9[[#This Row],[P1 + P4]]*VLOOKUP(MONTH(Tabla9[[#This Row],[Fecha final]]),Tabla20[#All],2,FALSE)</f>
        <v>0</v>
      </c>
      <c r="I18" s="16">
        <f>Tabla9[[#This Row],[P2 + P5]]*VLOOKUP(MONTH(Tabla9[[#This Row],[Fecha final]]),Tabla20[#All],3,FALSE)</f>
        <v>0</v>
      </c>
      <c r="J18" s="16">
        <f>(Tabla9[[#This Row],[P3 + P6]])*VLOOKUP(MONTH(Tabla9[[#This Row],[Fecha final]]),Tabla20[#All],4,FALSE)</f>
        <v>0</v>
      </c>
      <c r="K18" s="16">
        <f>Tabla9[[#This Row],[P1 + P4]]*VLOOKUP(MONTH(Tabla9[[#This Row],[Fecha final]]),Tabla20[#All],5,FALSE)</f>
        <v>307</v>
      </c>
      <c r="L18" s="16">
        <f>Tabla9[[#This Row],[P2 + P5]]*VLOOKUP(MONTH(Tabla9[[#This Row],[Fecha final]]),Tabla20[#All],6,FALSE)</f>
        <v>773</v>
      </c>
      <c r="M18" s="16">
        <f>Tabla9[[#This Row],[P3 + P6]]*VLOOKUP(MONTH(Tabla9[[#This Row],[Fecha final]]),Tabla20[#All],7,FALSE)</f>
        <v>348</v>
      </c>
      <c r="N18" s="16">
        <f>YEAR(Tabla9[[#This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42</v>
      </c>
      <c r="E19" s="16">
        <v>865</v>
      </c>
      <c r="F19" s="16">
        <v>0</v>
      </c>
      <c r="G19" s="16">
        <v>1681</v>
      </c>
      <c r="H19" s="16">
        <f>Tabla9[[#This Row],[P1 + P4]]*VLOOKUP(MONTH(Tabla9[[#This Row],[Fecha final]]),Tabla20[#All],2,FALSE)</f>
        <v>0</v>
      </c>
      <c r="I19" s="16">
        <f>Tabla9[[#This Row],[P2 + P5]]*VLOOKUP(MONTH(Tabla9[[#This Row],[Fecha final]]),Tabla20[#All],3,FALSE)</f>
        <v>0</v>
      </c>
      <c r="J19" s="16">
        <f>(Tabla9[[#This Row],[P3 + P6]])*VLOOKUP(MONTH(Tabla9[[#This Row],[Fecha final]]),Tabla20[#All],4,FALSE)</f>
        <v>588.01379999999995</v>
      </c>
      <c r="K19" s="16">
        <f>Tabla9[[#This Row],[P1 + P4]]*VLOOKUP(MONTH(Tabla9[[#This Row],[Fecha final]]),Tabla20[#All],5,FALSE)</f>
        <v>865</v>
      </c>
      <c r="L19" s="16">
        <f>Tabla9[[#This Row],[P2 + P5]]*VLOOKUP(MONTH(Tabla9[[#This Row],[Fecha final]]),Tabla20[#All],6,FALSE)</f>
        <v>0</v>
      </c>
      <c r="M19" s="16">
        <f>Tabla9[[#This Row],[P3 + P6]]*VLOOKUP(MONTH(Tabla9[[#This Row],[Fecha final]]),Tabla20[#All],7,FALSE)</f>
        <v>1092.9862000000001</v>
      </c>
      <c r="N19" s="16">
        <f>YEAR(Tabla9[[#This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42</v>
      </c>
      <c r="E20" s="16">
        <v>1497</v>
      </c>
      <c r="F20" s="16">
        <v>965</v>
      </c>
      <c r="G20" s="16">
        <v>254</v>
      </c>
      <c r="H20" s="16">
        <f>Tabla9[[#This Row],[P1 + P4]]*VLOOKUP(MONTH(Tabla9[[#This Row],[Fecha final]]),Tabla20[#All],2,FALSE)</f>
        <v>1497</v>
      </c>
      <c r="I20" s="16">
        <f>Tabla9[[#This Row],[P2 + P5]]*VLOOKUP(MONTH(Tabla9[[#This Row],[Fecha final]]),Tabla20[#All],3,FALSE)</f>
        <v>965</v>
      </c>
      <c r="J20" s="16">
        <f>(Tabla9[[#This Row],[P3 + P6]])*VLOOKUP(MONTH(Tabla9[[#This Row],[Fecha final]]),Tabla20[#All],4,FALSE)</f>
        <v>0</v>
      </c>
      <c r="K20" s="16">
        <f>Tabla9[[#This Row],[P1 + P4]]*VLOOKUP(MONTH(Tabla9[[#This Row],[Fecha final]]),Tabla20[#All],5,FALSE)</f>
        <v>0</v>
      </c>
      <c r="L20" s="16">
        <f>Tabla9[[#This Row],[P2 + P5]]*VLOOKUP(MONTH(Tabla9[[#This Row],[Fecha final]]),Tabla20[#All],6,FALSE)</f>
        <v>0</v>
      </c>
      <c r="M20" s="16">
        <f>Tabla9[[#This Row],[P3 + P6]]*VLOOKUP(MONTH(Tabla9[[#This Row],[Fecha final]]),Tabla20[#All],7,FALSE)</f>
        <v>254</v>
      </c>
      <c r="N20" s="16">
        <f>YEAR(Tabla9[[#This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42</v>
      </c>
      <c r="E21" s="16">
        <v>303</v>
      </c>
      <c r="F21" s="16">
        <v>0</v>
      </c>
      <c r="G21" s="16">
        <v>1608</v>
      </c>
      <c r="H21" s="16">
        <f>Tabla9[[#This Row],[P1 + P4]]*VLOOKUP(MONTH(Tabla9[[#This Row],[Fecha final]]),Tabla20[#All],2,FALSE)</f>
        <v>0</v>
      </c>
      <c r="I21" s="16">
        <f>Tabla9[[#This Row],[P2 + P5]]*VLOOKUP(MONTH(Tabla9[[#This Row],[Fecha final]]),Tabla20[#All],3,FALSE)</f>
        <v>0</v>
      </c>
      <c r="J21" s="16">
        <f>(Tabla9[[#This Row],[P3 + P6]])*VLOOKUP(MONTH(Tabla9[[#This Row],[Fecha final]]),Tabla20[#All],4,FALSE)</f>
        <v>539.64480000000003</v>
      </c>
      <c r="K21" s="16">
        <f>Tabla9[[#This Row],[P1 + P4]]*VLOOKUP(MONTH(Tabla9[[#This Row],[Fecha final]]),Tabla20[#All],5,FALSE)</f>
        <v>303</v>
      </c>
      <c r="L21" s="16">
        <f>Tabla9[[#This Row],[P2 + P5]]*VLOOKUP(MONTH(Tabla9[[#This Row],[Fecha final]]),Tabla20[#All],6,FALSE)</f>
        <v>0</v>
      </c>
      <c r="M21" s="16">
        <f>Tabla9[[#This Row],[P3 + P6]]*VLOOKUP(MONTH(Tabla9[[#This Row],[Fecha final]]),Tabla20[#All],7,FALSE)</f>
        <v>1068.3552</v>
      </c>
      <c r="N21" s="16">
        <f>YEAR(Tabla9[[#This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42</v>
      </c>
      <c r="E22" s="16">
        <v>918</v>
      </c>
      <c r="F22" s="16">
        <v>0</v>
      </c>
      <c r="G22" s="16">
        <v>1569</v>
      </c>
      <c r="H22" s="16">
        <f>Tabla9[[#This Row],[P1 + P4]]*VLOOKUP(MONTH(Tabla9[[#This Row],[Fecha final]]),Tabla20[#All],2,FALSE)</f>
        <v>0</v>
      </c>
      <c r="I22" s="16">
        <f>Tabla9[[#This Row],[P2 + P5]]*VLOOKUP(MONTH(Tabla9[[#This Row],[Fecha final]]),Tabla20[#All],3,FALSE)</f>
        <v>0</v>
      </c>
      <c r="J22" s="16">
        <f>(Tabla9[[#This Row],[P3 + P6]])*VLOOKUP(MONTH(Tabla9[[#This Row],[Fecha final]]),Tabla20[#All],4,FALSE)</f>
        <v>548.83619999999996</v>
      </c>
      <c r="K22" s="16">
        <f>Tabla9[[#This Row],[P1 + P4]]*VLOOKUP(MONTH(Tabla9[[#This Row],[Fecha final]]),Tabla20[#All],5,FALSE)</f>
        <v>918</v>
      </c>
      <c r="L22" s="16">
        <f>Tabla9[[#This Row],[P2 + P5]]*VLOOKUP(MONTH(Tabla9[[#This Row],[Fecha final]]),Tabla20[#All],6,FALSE)</f>
        <v>0</v>
      </c>
      <c r="M22" s="16">
        <f>Tabla9[[#This Row],[P3 + P6]]*VLOOKUP(MONTH(Tabla9[[#This Row],[Fecha final]]),Tabla20[#All],7,FALSE)</f>
        <v>1020.1638</v>
      </c>
      <c r="N22" s="16">
        <f>YEAR(Tabla9[[#This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42</v>
      </c>
      <c r="E23" s="16">
        <v>758</v>
      </c>
      <c r="F23" s="16">
        <v>595</v>
      </c>
      <c r="G23" s="16">
        <v>282</v>
      </c>
      <c r="H23" s="16">
        <f>Tabla9[[#This Row],[P1 + P4]]*VLOOKUP(MONTH(Tabla9[[#This Row],[Fecha final]]),Tabla20[#All],2,FALSE)</f>
        <v>0</v>
      </c>
      <c r="I23" s="16">
        <f>Tabla9[[#This Row],[P2 + P5]]*VLOOKUP(MONTH(Tabla9[[#This Row],[Fecha final]]),Tabla20[#All],3,FALSE)</f>
        <v>0</v>
      </c>
      <c r="J23" s="16">
        <f>(Tabla9[[#This Row],[P3 + P6]])*VLOOKUP(MONTH(Tabla9[[#This Row],[Fecha final]]),Tabla20[#All],4,FALSE)</f>
        <v>0</v>
      </c>
      <c r="K23" s="16">
        <f>Tabla9[[#This Row],[P1 + P4]]*VLOOKUP(MONTH(Tabla9[[#This Row],[Fecha final]]),Tabla20[#All],5,FALSE)</f>
        <v>758</v>
      </c>
      <c r="L23" s="16">
        <f>Tabla9[[#This Row],[P2 + P5]]*VLOOKUP(MONTH(Tabla9[[#This Row],[Fecha final]]),Tabla20[#All],6,FALSE)</f>
        <v>595</v>
      </c>
      <c r="M23" s="16">
        <f>Tabla9[[#This Row],[P3 + P6]]*VLOOKUP(MONTH(Tabla9[[#This Row],[Fecha final]]),Tabla20[#All],7,FALSE)</f>
        <v>282</v>
      </c>
      <c r="N23" s="16">
        <f>YEAR(Tabla9[[#This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567</v>
      </c>
      <c r="G24" s="16">
        <v>1044</v>
      </c>
      <c r="H24" s="16">
        <f>Tabla9[[#This Row],[P1 + P4]]*VLOOKUP(MONTH(Tabla9[[#This Row],[Fecha final]]),Tabla20[#All],2,FALSE)</f>
        <v>0</v>
      </c>
      <c r="I24" s="16">
        <f>Tabla9[[#This Row],[P2 + P5]]*VLOOKUP(MONTH(Tabla9[[#This Row],[Fecha final]]),Tabla20[#All],3,FALSE)</f>
        <v>567</v>
      </c>
      <c r="J24" s="16">
        <f>(Tabla9[[#This Row],[P3 + P6]])*VLOOKUP(MONTH(Tabla9[[#This Row],[Fecha final]]),Tabla20[#All],4,FALSE)</f>
        <v>288.97919999999999</v>
      </c>
      <c r="K24" s="16">
        <f>Tabla9[[#This Row],[P1 + P4]]*VLOOKUP(MONTH(Tabla9[[#This Row],[Fecha final]]),Tabla20[#All],5,FALSE)</f>
        <v>0</v>
      </c>
      <c r="L24" s="16">
        <f>Tabla9[[#This Row],[P2 + P5]]*VLOOKUP(MONTH(Tabla9[[#This Row],[Fecha final]]),Tabla20[#All],6,FALSE)</f>
        <v>0</v>
      </c>
      <c r="M24" s="16">
        <f>Tabla9[[#This Row],[P3 + P6]]*VLOOKUP(MONTH(Tabla9[[#This Row],[Fecha final]]),Tabla20[#All],7,FALSE)</f>
        <v>755.02080000000001</v>
      </c>
      <c r="N24" s="16">
        <f>YEAR(Tabla9[[#This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42</v>
      </c>
      <c r="E25" s="16">
        <v>83</v>
      </c>
      <c r="F25" s="16">
        <v>54</v>
      </c>
      <c r="G25" s="16">
        <v>44</v>
      </c>
      <c r="H25" s="16">
        <f>Tabla9[[#This Row],[P1 + P4]]*VLOOKUP(MONTH(Tabla9[[#This Row],[Fecha final]]),Tabla20[#All],2,FALSE)</f>
        <v>83</v>
      </c>
      <c r="I25" s="16">
        <f>Tabla9[[#This Row],[P2 + P5]]*VLOOKUP(MONTH(Tabla9[[#This Row],[Fecha final]]),Tabla20[#All],3,FALSE)</f>
        <v>54</v>
      </c>
      <c r="J25" s="16">
        <f>(Tabla9[[#This Row],[P3 + P6]])*VLOOKUP(MONTH(Tabla9[[#This Row],[Fecha final]]),Tabla20[#All],4,FALSE)</f>
        <v>0</v>
      </c>
      <c r="K25" s="16">
        <f>Tabla9[[#This Row],[P1 + P4]]*VLOOKUP(MONTH(Tabla9[[#This Row],[Fecha final]]),Tabla20[#All],5,FALSE)</f>
        <v>0</v>
      </c>
      <c r="L25" s="16">
        <f>Tabla9[[#This Row],[P2 + P5]]*VLOOKUP(MONTH(Tabla9[[#This Row],[Fecha final]]),Tabla20[#All],6,FALSE)</f>
        <v>0</v>
      </c>
      <c r="M25" s="16">
        <f>Tabla9[[#This Row],[P3 + P6]]*VLOOKUP(MONTH(Tabla9[[#This Row],[Fecha final]]),Tabla20[#All],7,FALSE)</f>
        <v>44</v>
      </c>
      <c r="N25" s="16">
        <f>YEAR(Tabla9[[#This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42</v>
      </c>
      <c r="E26" s="16">
        <v>1543</v>
      </c>
      <c r="F26" s="16">
        <v>1270</v>
      </c>
      <c r="G26" s="16">
        <v>131</v>
      </c>
      <c r="H26" s="16">
        <f>Tabla9[[#This Row],[P1 + P4]]*VLOOKUP(MONTH(Tabla9[[#This Row],[Fecha final]]),Tabla20[#All],2,FALSE)</f>
        <v>1543</v>
      </c>
      <c r="I26" s="16">
        <f>Tabla9[[#This Row],[P2 + P5]]*VLOOKUP(MONTH(Tabla9[[#This Row],[Fecha final]]),Tabla20[#All],3,FALSE)</f>
        <v>1270</v>
      </c>
      <c r="J26" s="16">
        <f>(Tabla9[[#This Row],[P3 + P6]])*VLOOKUP(MONTH(Tabla9[[#This Row],[Fecha final]]),Tabla20[#All],4,FALSE)</f>
        <v>0</v>
      </c>
      <c r="K26" s="16">
        <f>Tabla9[[#This Row],[P1 + P4]]*VLOOKUP(MONTH(Tabla9[[#This Row],[Fecha final]]),Tabla20[#All],5,FALSE)</f>
        <v>0</v>
      </c>
      <c r="L26" s="16">
        <f>Tabla9[[#This Row],[P2 + P5]]*VLOOKUP(MONTH(Tabla9[[#This Row],[Fecha final]]),Tabla20[#All],6,FALSE)</f>
        <v>0</v>
      </c>
      <c r="M26" s="16">
        <f>Tabla9[[#This Row],[P3 + P6]]*VLOOKUP(MONTH(Tabla9[[#This Row],[Fecha final]]),Tabla20[#All],7,FALSE)</f>
        <v>131</v>
      </c>
      <c r="N26" s="16">
        <f>YEAR(Tabla9[[#This Row],[Fecha final]])</f>
        <v>2021</v>
      </c>
    </row>
    <row r="27" spans="1:14">
      <c r="A27" s="17">
        <v>44561</v>
      </c>
      <c r="B27" s="17">
        <v>44596</v>
      </c>
      <c r="C27" s="16">
        <v>35</v>
      </c>
      <c r="D27" s="16" t="s">
        <v>42</v>
      </c>
      <c r="E27" s="16">
        <v>1862</v>
      </c>
      <c r="F27" s="16">
        <v>1534</v>
      </c>
      <c r="G27" s="16">
        <v>158</v>
      </c>
      <c r="H27" s="16">
        <f>Tabla9[[#This Row],[P1 + P4]]*VLOOKUP(MONTH(Tabla9[[#This Row],[Fecha final]]),Tabla20[#All],2,FALSE)</f>
        <v>1862</v>
      </c>
      <c r="I27" s="16">
        <f>Tabla9[[#This Row],[P2 + P5]]*VLOOKUP(MONTH(Tabla9[[#This Row],[Fecha final]]),Tabla20[#All],3,FALSE)</f>
        <v>1534</v>
      </c>
      <c r="J27" s="16">
        <f>(Tabla9[[#This Row],[P3 + P6]])*VLOOKUP(MONTH(Tabla9[[#This Row],[Fecha final]]),Tabla20[#All],4,FALSE)</f>
        <v>0</v>
      </c>
      <c r="K27" s="16">
        <f>Tabla9[[#This Row],[P1 + P4]]*VLOOKUP(MONTH(Tabla9[[#This Row],[Fecha final]]),Tabla20[#All],5,FALSE)</f>
        <v>0</v>
      </c>
      <c r="L27" s="16">
        <f>Tabla9[[#This Row],[P2 + P5]]*VLOOKUP(MONTH(Tabla9[[#This Row],[Fecha final]]),Tabla20[#All],6,FALSE)</f>
        <v>0</v>
      </c>
      <c r="M27" s="16">
        <f>Tabla9[[#This Row],[P3 + P6]]*VLOOKUP(MONTH(Tabla9[[#This Row],[Fecha final]]),Tabla20[#All],7,FALSE)</f>
        <v>158</v>
      </c>
      <c r="N27" s="16">
        <f>YEAR(Tabla9[[#This Row],[Fecha final]])</f>
        <v>2022</v>
      </c>
    </row>
    <row r="28" spans="1:14">
      <c r="A28" s="17">
        <v>44596</v>
      </c>
      <c r="B28" s="17">
        <v>44620</v>
      </c>
      <c r="C28" s="16">
        <v>24</v>
      </c>
      <c r="D28" s="16" t="s">
        <v>42</v>
      </c>
      <c r="E28" s="16">
        <v>1511</v>
      </c>
      <c r="F28" s="16">
        <v>1201</v>
      </c>
      <c r="G28" s="16">
        <v>386</v>
      </c>
      <c r="H28" s="16">
        <f>Tabla9[[#This Row],[P1 + P4]]*VLOOKUP(MONTH(Tabla9[[#This Row],[Fecha final]]),Tabla20[#All],2,FALSE)</f>
        <v>1511</v>
      </c>
      <c r="I28" s="16">
        <f>Tabla9[[#This Row],[P2 + P5]]*VLOOKUP(MONTH(Tabla9[[#This Row],[Fecha final]]),Tabla20[#All],3,FALSE)</f>
        <v>1201</v>
      </c>
      <c r="J28" s="16">
        <f>(Tabla9[[#This Row],[P3 + P6]])*VLOOKUP(MONTH(Tabla9[[#This Row],[Fecha final]]),Tabla20[#All],4,FALSE)</f>
        <v>0</v>
      </c>
      <c r="K28" s="16">
        <f>Tabla9[[#This Row],[P1 + P4]]*VLOOKUP(MONTH(Tabla9[[#This Row],[Fecha final]]),Tabla20[#All],5,FALSE)</f>
        <v>0</v>
      </c>
      <c r="L28" s="16">
        <f>Tabla9[[#This Row],[P2 + P5]]*VLOOKUP(MONTH(Tabla9[[#This Row],[Fecha final]]),Tabla20[#All],6,FALSE)</f>
        <v>0</v>
      </c>
      <c r="M28" s="16">
        <f>Tabla9[[#This Row],[P3 + P6]]*VLOOKUP(MONTH(Tabla9[[#This Row],[Fecha final]]),Tabla20[#All],7,FALSE)</f>
        <v>386</v>
      </c>
      <c r="N28" s="16">
        <f>YEAR(Tabla9[[#This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1648</v>
      </c>
      <c r="G29" s="16">
        <v>1512</v>
      </c>
      <c r="H29" s="16">
        <f>Tabla9[[#This Row],[P1 + P4]]*VLOOKUP(MONTH(Tabla9[[#This Row],[Fecha final]]),Tabla20[#All],2,FALSE)</f>
        <v>0</v>
      </c>
      <c r="I29" s="16">
        <f>Tabla9[[#This Row],[P2 + P5]]*VLOOKUP(MONTH(Tabla9[[#This Row],[Fecha final]]),Tabla20[#All],3,FALSE)</f>
        <v>1648</v>
      </c>
      <c r="J29" s="16">
        <f>(Tabla9[[#This Row],[P3 + P6]])*VLOOKUP(MONTH(Tabla9[[#This Row],[Fecha final]]),Tabla20[#All],4,FALSE)</f>
        <v>453.29759999999999</v>
      </c>
      <c r="K29" s="16">
        <f>Tabla9[[#This Row],[P1 + P4]]*VLOOKUP(MONTH(Tabla9[[#This Row],[Fecha final]]),Tabla20[#All],5,FALSE)</f>
        <v>0</v>
      </c>
      <c r="L29" s="16">
        <f>Tabla9[[#This Row],[P2 + P5]]*VLOOKUP(MONTH(Tabla9[[#This Row],[Fecha final]]),Tabla20[#All],6,FALSE)</f>
        <v>0</v>
      </c>
      <c r="M29" s="16">
        <f>Tabla9[[#This Row],[P3 + P6]]*VLOOKUP(MONTH(Tabla9[[#This Row],[Fecha final]]),Tabla20[#All],7,FALSE)</f>
        <v>1058.7024000000001</v>
      </c>
      <c r="N29" s="16">
        <f>YEAR(Tabla9[[#This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1069</v>
      </c>
      <c r="F30" s="16">
        <v>707</v>
      </c>
      <c r="G30" s="16">
        <v>282</v>
      </c>
      <c r="H30" s="16">
        <f>Tabla9[[#This Row],[P1 + P4]]*VLOOKUP(MONTH(Tabla9[[#This Row],[Fecha final]]),Tabla20[#All],2,FALSE)</f>
        <v>0</v>
      </c>
      <c r="I30" s="16">
        <f>Tabla9[[#This Row],[P2 + P5]]*VLOOKUP(MONTH(Tabla9[[#This Row],[Fecha final]]),Tabla20[#All],3,FALSE)</f>
        <v>0</v>
      </c>
      <c r="J30" s="16">
        <f>(Tabla9[[#This Row],[P3 + P6]])*VLOOKUP(MONTH(Tabla9[[#This Row],[Fecha final]]),Tabla20[#All],4,FALSE)</f>
        <v>0</v>
      </c>
      <c r="K30" s="16">
        <f>Tabla9[[#This Row],[P1 + P4]]*VLOOKUP(MONTH(Tabla9[[#This Row],[Fecha final]]),Tabla20[#All],5,FALSE)</f>
        <v>1069</v>
      </c>
      <c r="L30" s="16">
        <f>Tabla9[[#This Row],[P2 + P5]]*VLOOKUP(MONTH(Tabla9[[#This Row],[Fecha final]]),Tabla20[#All],6,FALSE)</f>
        <v>707</v>
      </c>
      <c r="M30" s="16">
        <f>Tabla9[[#This Row],[P3 + P6]]*VLOOKUP(MONTH(Tabla9[[#This Row],[Fecha final]]),Tabla20[#All],7,FALSE)</f>
        <v>282</v>
      </c>
      <c r="N30" s="16">
        <f>YEAR(Tabla9[[#This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1151</v>
      </c>
      <c r="F31" s="16">
        <v>699</v>
      </c>
      <c r="G31" s="16">
        <v>235</v>
      </c>
      <c r="H31" s="16">
        <f>Tabla9[[#This Row],[P1 + P4]]*VLOOKUP(MONTH(Tabla9[[#This Row],[Fecha final]]),Tabla20[#All],2,FALSE)</f>
        <v>0</v>
      </c>
      <c r="I31" s="16">
        <f>Tabla9[[#This Row],[P2 + P5]]*VLOOKUP(MONTH(Tabla9[[#This Row],[Fecha final]]),Tabla20[#All],3,FALSE)</f>
        <v>0</v>
      </c>
      <c r="J31" s="16">
        <f>(Tabla9[[#This Row],[P3 + P6]])*VLOOKUP(MONTH(Tabla9[[#This Row],[Fecha final]]),Tabla20[#All],4,FALSE)</f>
        <v>0</v>
      </c>
      <c r="K31" s="16">
        <f>Tabla9[[#This Row],[P1 + P4]]*VLOOKUP(MONTH(Tabla9[[#This Row],[Fecha final]]),Tabla20[#All],5,FALSE)</f>
        <v>1151</v>
      </c>
      <c r="L31" s="16">
        <f>Tabla9[[#This Row],[P2 + P5]]*VLOOKUP(MONTH(Tabla9[[#This Row],[Fecha final]]),Tabla20[#All],6,FALSE)</f>
        <v>699</v>
      </c>
      <c r="M31" s="16">
        <f>Tabla9[[#This Row],[P3 + P6]]*VLOOKUP(MONTH(Tabla9[[#This Row],[Fecha final]]),Tabla20[#All],7,FALSE)</f>
        <v>235</v>
      </c>
      <c r="N31" s="16">
        <f>YEAR(Tabla9[[#This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891</v>
      </c>
      <c r="F32" s="16">
        <v>0</v>
      </c>
      <c r="G32" s="16">
        <v>1754</v>
      </c>
      <c r="H32" s="16">
        <f>Tabla9[[#This Row],[P1 + P4]]*VLOOKUP(MONTH(Tabla9[[#This Row],[Fecha final]]),Tabla20[#All],2,FALSE)</f>
        <v>0</v>
      </c>
      <c r="I32" s="16">
        <f>Tabla9[[#This Row],[P2 + P5]]*VLOOKUP(MONTH(Tabla9[[#This Row],[Fecha final]]),Tabla20[#All],3,FALSE)</f>
        <v>0</v>
      </c>
      <c r="J32" s="16">
        <f>(Tabla9[[#This Row],[P3 + P6]])*VLOOKUP(MONTH(Tabla9[[#This Row],[Fecha final]]),Tabla20[#All],4,FALSE)</f>
        <v>613.54920000000004</v>
      </c>
      <c r="K32" s="16">
        <f>Tabla9[[#This Row],[P1 + P4]]*VLOOKUP(MONTH(Tabla9[[#This Row],[Fecha final]]),Tabla20[#All],5,FALSE)</f>
        <v>891</v>
      </c>
      <c r="L32" s="16">
        <f>Tabla9[[#This Row],[P2 + P5]]*VLOOKUP(MONTH(Tabla9[[#This Row],[Fecha final]]),Tabla20[#All],6,FALSE)</f>
        <v>0</v>
      </c>
      <c r="M32" s="16">
        <f>Tabla9[[#This Row],[P3 + P6]]*VLOOKUP(MONTH(Tabla9[[#This Row],[Fecha final]]),Tabla20[#All],7,FALSE)</f>
        <v>1140.4508000000001</v>
      </c>
      <c r="N32" s="16">
        <f>YEAR(Tabla9[[#This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1641</v>
      </c>
      <c r="F33" s="16">
        <v>1259</v>
      </c>
      <c r="G33" s="16">
        <v>313</v>
      </c>
      <c r="H33" s="16">
        <f>Tabla9[[#This Row],[P1 + P4]]*VLOOKUP(MONTH(Tabla9[[#This Row],[Fecha final]]),Tabla20[#All],2,FALSE)</f>
        <v>1641</v>
      </c>
      <c r="I33" s="16">
        <f>Tabla9[[#This Row],[P2 + P5]]*VLOOKUP(MONTH(Tabla9[[#This Row],[Fecha final]]),Tabla20[#All],3,FALSE)</f>
        <v>1259</v>
      </c>
      <c r="J33" s="16">
        <f>(Tabla9[[#This Row],[P3 + P6]])*VLOOKUP(MONTH(Tabla9[[#This Row],[Fecha final]]),Tabla20[#All],4,FALSE)</f>
        <v>0</v>
      </c>
      <c r="K33" s="16">
        <f>Tabla9[[#This Row],[P1 + P4]]*VLOOKUP(MONTH(Tabla9[[#This Row],[Fecha final]]),Tabla20[#All],5,FALSE)</f>
        <v>0</v>
      </c>
      <c r="L33" s="16">
        <f>Tabla9[[#This Row],[P2 + P5]]*VLOOKUP(MONTH(Tabla9[[#This Row],[Fecha final]]),Tabla20[#All],6,FALSE)</f>
        <v>0</v>
      </c>
      <c r="M33" s="16">
        <f>Tabla9[[#This Row],[P3 + P6]]*VLOOKUP(MONTH(Tabla9[[#This Row],[Fecha final]]),Tabla20[#All],7,FALSE)</f>
        <v>313</v>
      </c>
      <c r="N33" s="16">
        <f>YEAR(Tabla9[[#This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640</v>
      </c>
      <c r="F34" s="16">
        <v>0</v>
      </c>
      <c r="G34" s="16">
        <v>1726</v>
      </c>
      <c r="H34" s="16">
        <f>Tabla9[[#This Row],[P1 + P4]]*VLOOKUP(MONTH(Tabla9[[#This Row],[Fecha final]]),Tabla20[#All],2,FALSE)</f>
        <v>0</v>
      </c>
      <c r="I34" s="16">
        <f>Tabla9[[#This Row],[P2 + P5]]*VLOOKUP(MONTH(Tabla9[[#This Row],[Fecha final]]),Tabla20[#All],3,FALSE)</f>
        <v>0</v>
      </c>
      <c r="J34" s="16">
        <f>(Tabla9[[#This Row],[P3 + P6]])*VLOOKUP(MONTH(Tabla9[[#This Row],[Fecha final]]),Tabla20[#All],4,FALSE)</f>
        <v>579.24559999999997</v>
      </c>
      <c r="K34" s="16">
        <f>Tabla9[[#This Row],[P1 + P4]]*VLOOKUP(MONTH(Tabla9[[#This Row],[Fecha final]]),Tabla20[#All],5,FALSE)</f>
        <v>640</v>
      </c>
      <c r="L34" s="16">
        <f>Tabla9[[#This Row],[P2 + P5]]*VLOOKUP(MONTH(Tabla9[[#This Row],[Fecha final]]),Tabla20[#All],6,FALSE)</f>
        <v>0</v>
      </c>
      <c r="M34" s="16">
        <f>Tabla9[[#This Row],[P3 + P6]]*VLOOKUP(MONTH(Tabla9[[#This Row],[Fecha final]]),Tabla20[#All],7,FALSE)</f>
        <v>1146.7544</v>
      </c>
      <c r="N34" s="16">
        <f>YEAR(Tabla9[[#This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920</v>
      </c>
      <c r="F35" s="16">
        <v>0</v>
      </c>
      <c r="G35" s="16">
        <v>1587</v>
      </c>
      <c r="H35" s="16">
        <f>Tabla9[[#This Row],[P1 + P4]]*VLOOKUP(MONTH(Tabla9[[#This Row],[Fecha final]]),Tabla20[#All],2,FALSE)</f>
        <v>0</v>
      </c>
      <c r="I35" s="16">
        <f>Tabla9[[#This Row],[P2 + P5]]*VLOOKUP(MONTH(Tabla9[[#This Row],[Fecha final]]),Tabla20[#All],3,FALSE)</f>
        <v>0</v>
      </c>
      <c r="J35" s="16">
        <f>(Tabla9[[#This Row],[P3 + P6]])*VLOOKUP(MONTH(Tabla9[[#This Row],[Fecha final]]),Tabla20[#All],4,FALSE)</f>
        <v>555.13260000000002</v>
      </c>
      <c r="K35" s="16">
        <f>Tabla9[[#This Row],[P1 + P4]]*VLOOKUP(MONTH(Tabla9[[#This Row],[Fecha final]]),Tabla20[#All],5,FALSE)</f>
        <v>920</v>
      </c>
      <c r="L35" s="16">
        <f>Tabla9[[#This Row],[P2 + P5]]*VLOOKUP(MONTH(Tabla9[[#This Row],[Fecha final]]),Tabla20[#All],6,FALSE)</f>
        <v>0</v>
      </c>
      <c r="M35" s="16">
        <f>Tabla9[[#This Row],[P3 + P6]]*VLOOKUP(MONTH(Tabla9[[#This Row],[Fecha final]]),Tabla20[#All],7,FALSE)</f>
        <v>1031.8674000000001</v>
      </c>
      <c r="N35" s="16">
        <f>YEAR(Tabla9[[#This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1029</v>
      </c>
      <c r="F36" s="16">
        <v>747</v>
      </c>
      <c r="G36" s="16">
        <v>274</v>
      </c>
      <c r="H36" s="16">
        <f>Tabla9[[#This Row],[P1 + P4]]*VLOOKUP(MONTH(Tabla9[[#This Row],[Fecha final]]),Tabla20[#All],2,FALSE)</f>
        <v>0</v>
      </c>
      <c r="I36" s="16">
        <f>Tabla9[[#This Row],[P2 + P5]]*VLOOKUP(MONTH(Tabla9[[#This Row],[Fecha final]]),Tabla20[#All],3,FALSE)</f>
        <v>0</v>
      </c>
      <c r="J36" s="16">
        <f>(Tabla9[[#This Row],[P3 + P6]])*VLOOKUP(MONTH(Tabla9[[#This Row],[Fecha final]]),Tabla20[#All],4,FALSE)</f>
        <v>0</v>
      </c>
      <c r="K36" s="16">
        <f>Tabla9[[#This Row],[P1 + P4]]*VLOOKUP(MONTH(Tabla9[[#This Row],[Fecha final]]),Tabla20[#All],5,FALSE)</f>
        <v>1029</v>
      </c>
      <c r="L36" s="16">
        <f>Tabla9[[#This Row],[P2 + P5]]*VLOOKUP(MONTH(Tabla9[[#This Row],[Fecha final]]),Tabla20[#All],6,FALSE)</f>
        <v>747</v>
      </c>
      <c r="M36" s="16">
        <f>Tabla9[[#This Row],[P3 + P6]]*VLOOKUP(MONTH(Tabla9[[#This Row],[Fecha final]]),Tabla20[#All],7,FALSE)</f>
        <v>274</v>
      </c>
      <c r="N36" s="16">
        <f>YEAR(Tabla9[[#This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992</v>
      </c>
      <c r="G37" s="16">
        <v>912</v>
      </c>
      <c r="H37" s="16">
        <f>Tabla9[[#This Row],[P1 + P4]]*VLOOKUP(MONTH(Tabla9[[#This Row],[Fecha final]]),Tabla20[#All],2,FALSE)</f>
        <v>0</v>
      </c>
      <c r="I37" s="16">
        <f>Tabla9[[#This Row],[P2 + P5]]*VLOOKUP(MONTH(Tabla9[[#This Row],[Fecha final]]),Tabla20[#All],3,FALSE)</f>
        <v>992</v>
      </c>
      <c r="J37" s="16">
        <f>(Tabla9[[#This Row],[P3 + P6]])*VLOOKUP(MONTH(Tabla9[[#This Row],[Fecha final]]),Tabla20[#All],4,FALSE)</f>
        <v>252.44159999999999</v>
      </c>
      <c r="K37" s="16">
        <f>Tabla9[[#This Row],[P1 + P4]]*VLOOKUP(MONTH(Tabla9[[#This Row],[Fecha final]]),Tabla20[#All],5,FALSE)</f>
        <v>0</v>
      </c>
      <c r="L37" s="16">
        <f>Tabla9[[#This Row],[P2 + P5]]*VLOOKUP(MONTH(Tabla9[[#This Row],[Fecha final]]),Tabla20[#All],6,FALSE)</f>
        <v>0</v>
      </c>
      <c r="M37" s="16">
        <f>Tabla9[[#This Row],[P3 + P6]]*VLOOKUP(MONTH(Tabla9[[#This Row],[Fecha final]]),Tabla20[#All],7,FALSE)</f>
        <v>659.55840000000001</v>
      </c>
      <c r="N37" s="16">
        <f>YEAR(Tabla9[[#This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1276</v>
      </c>
      <c r="F38" s="16">
        <v>879</v>
      </c>
      <c r="G38" s="16">
        <v>275</v>
      </c>
      <c r="H38" s="16">
        <f>Tabla9[[#This Row],[P1 + P4]]*VLOOKUP(MONTH(Tabla9[[#This Row],[Fecha final]]),Tabla20[#All],2,FALSE)</f>
        <v>1276</v>
      </c>
      <c r="I38" s="16">
        <f>Tabla9[[#This Row],[P2 + P5]]*VLOOKUP(MONTH(Tabla9[[#This Row],[Fecha final]]),Tabla20[#All],3,FALSE)</f>
        <v>879</v>
      </c>
      <c r="J38" s="16">
        <f>(Tabla9[[#This Row],[P3 + P6]])*VLOOKUP(MONTH(Tabla9[[#This Row],[Fecha final]]),Tabla20[#All],4,FALSE)</f>
        <v>0</v>
      </c>
      <c r="K38" s="16">
        <f>Tabla9[[#This Row],[P1 + P4]]*VLOOKUP(MONTH(Tabla9[[#This Row],[Fecha final]]),Tabla20[#All],5,FALSE)</f>
        <v>0</v>
      </c>
      <c r="L38" s="16">
        <f>Tabla9[[#This Row],[P2 + P5]]*VLOOKUP(MONTH(Tabla9[[#This Row],[Fecha final]]),Tabla20[#All],6,FALSE)</f>
        <v>0</v>
      </c>
      <c r="M38" s="16">
        <f>Tabla9[[#This Row],[P3 + P6]]*VLOOKUP(MONTH(Tabla9[[#This Row],[Fecha final]]),Tabla20[#All],7,FALSE)</f>
        <v>275</v>
      </c>
      <c r="N38" s="16">
        <f>YEAR(Tabla9[[#This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1624</v>
      </c>
      <c r="F39" s="16">
        <v>1085</v>
      </c>
      <c r="G39" s="16">
        <v>336</v>
      </c>
      <c r="H39" s="16">
        <f>Tabla9[[#This Row],[P1 + P4]]*VLOOKUP(MONTH(Tabla9[[#This Row],[Fecha final]]),Tabla20[#All],2,FALSE)</f>
        <v>1624</v>
      </c>
      <c r="I39" s="16">
        <f>Tabla9[[#This Row],[P2 + P5]]*VLOOKUP(MONTH(Tabla9[[#This Row],[Fecha final]]),Tabla20[#All],3,FALSE)</f>
        <v>1085</v>
      </c>
      <c r="J39" s="16">
        <f>(Tabla9[[#This Row],[P3 + P6]])*VLOOKUP(MONTH(Tabla9[[#This Row],[Fecha final]]),Tabla20[#All],4,FALSE)</f>
        <v>0</v>
      </c>
      <c r="K39" s="16">
        <f>Tabla9[[#This Row],[P1 + P4]]*VLOOKUP(MONTH(Tabla9[[#This Row],[Fecha final]]),Tabla20[#All],5,FALSE)</f>
        <v>0</v>
      </c>
      <c r="L39" s="16">
        <f>Tabla9[[#This Row],[P2 + P5]]*VLOOKUP(MONTH(Tabla9[[#This Row],[Fecha final]]),Tabla20[#All],6,FALSE)</f>
        <v>0</v>
      </c>
      <c r="M39" s="16">
        <f>Tabla9[[#This Row],[P3 + P6]]*VLOOKUP(MONTH(Tabla9[[#This Row],[Fecha final]]),Tabla20[#All],7,FALSE)</f>
        <v>336</v>
      </c>
      <c r="N39" s="16">
        <f>YEAR(Tabla9[[#This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1548</v>
      </c>
      <c r="F40" s="16">
        <v>1094</v>
      </c>
      <c r="G40" s="16">
        <v>364</v>
      </c>
      <c r="H40" s="16">
        <f>Tabla9[[#This Row],[P1 + P4]]*VLOOKUP(MONTH(Tabla9[[#This Row],[Fecha final]]),Tabla20[#All],2,FALSE)</f>
        <v>1548</v>
      </c>
      <c r="I40" s="16">
        <f>Tabla9[[#This Row],[P2 + P5]]*VLOOKUP(MONTH(Tabla9[[#This Row],[Fecha final]]),Tabla20[#All],3,FALSE)</f>
        <v>1094</v>
      </c>
      <c r="J40" s="16">
        <f>(Tabla9[[#This Row],[P3 + P6]])*VLOOKUP(MONTH(Tabla9[[#This Row],[Fecha final]]),Tabla20[#All],4,FALSE)</f>
        <v>0</v>
      </c>
      <c r="K40" s="16">
        <f>Tabla9[[#This Row],[P1 + P4]]*VLOOKUP(MONTH(Tabla9[[#This Row],[Fecha final]]),Tabla20[#All],5,FALSE)</f>
        <v>0</v>
      </c>
      <c r="L40" s="16">
        <f>Tabla9[[#This Row],[P2 + P5]]*VLOOKUP(MONTH(Tabla9[[#This Row],[Fecha final]]),Tabla20[#All],6,FALSE)</f>
        <v>0</v>
      </c>
      <c r="M40" s="16">
        <f>Tabla9[[#This Row],[P3 + P6]]*VLOOKUP(MONTH(Tabla9[[#This Row],[Fecha final]]),Tabla20[#All],7,FALSE)</f>
        <v>364</v>
      </c>
      <c r="N40" s="16">
        <f>YEAR(Tabla9[[#This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1242</v>
      </c>
      <c r="G41" s="16">
        <v>1037</v>
      </c>
      <c r="H41" s="16">
        <f>Tabla9[[#This Row],[P1 + P4]]*VLOOKUP(MONTH(Tabla9[[#This Row],[Fecha final]]),Tabla20[#All],2,FALSE)</f>
        <v>0</v>
      </c>
      <c r="I41" s="16">
        <f>Tabla9[[#This Row],[P2 + P5]]*VLOOKUP(MONTH(Tabla9[[#This Row],[Fecha final]]),Tabla20[#All],3,FALSE)</f>
        <v>1242</v>
      </c>
      <c r="J41" s="16">
        <f>(Tabla9[[#This Row],[P3 + P6]])*VLOOKUP(MONTH(Tabla9[[#This Row],[Fecha final]]),Tabla20[#All],4,FALSE)</f>
        <v>310.89260000000002</v>
      </c>
      <c r="K41" s="16">
        <f>Tabla9[[#This Row],[P1 + P4]]*VLOOKUP(MONTH(Tabla9[[#This Row],[Fecha final]]),Tabla20[#All],5,FALSE)</f>
        <v>0</v>
      </c>
      <c r="L41" s="16">
        <f>Tabla9[[#This Row],[P2 + P5]]*VLOOKUP(MONTH(Tabla9[[#This Row],[Fecha final]]),Tabla20[#All],6,FALSE)</f>
        <v>0</v>
      </c>
      <c r="M41" s="16">
        <f>Tabla9[[#This Row],[P3 + P6]]*VLOOKUP(MONTH(Tabla9[[#This Row],[Fecha final]]),Tabla20[#All],7,FALSE)</f>
        <v>726.1074000000001</v>
      </c>
      <c r="N41" s="16">
        <f>YEAR(Tabla9[[#This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79</v>
      </c>
      <c r="G47" s="16">
        <v>29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60</v>
      </c>
      <c r="F48" s="16">
        <v>80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41</v>
      </c>
      <c r="F49" s="16">
        <v>68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81</v>
      </c>
      <c r="F50" s="16">
        <v>75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1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2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33</v>
      </c>
      <c r="F53" s="16">
        <v>0</v>
      </c>
      <c r="G53" s="16">
        <v>17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8</v>
      </c>
      <c r="F54" s="16">
        <v>0</v>
      </c>
      <c r="G54" s="16">
        <v>43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17</v>
      </c>
      <c r="F55" s="16">
        <v>22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28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17</v>
      </c>
      <c r="F58" s="16">
        <v>21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100</v>
      </c>
      <c r="G59" s="16">
        <v>101</v>
      </c>
    </row>
    <row r="60" spans="1:7">
      <c r="A60" s="16" t="s">
        <v>135</v>
      </c>
      <c r="B60" s="16" t="s">
        <v>62</v>
      </c>
      <c r="C60" s="16">
        <v>24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135</v>
      </c>
      <c r="C61" s="16">
        <v>35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43</v>
      </c>
      <c r="F66" s="16">
        <v>0</v>
      </c>
      <c r="G66" s="16">
        <v>41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47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30</v>
      </c>
      <c r="F68" s="16">
        <v>48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68</v>
      </c>
      <c r="F69" s="16">
        <v>0</v>
      </c>
      <c r="G69" s="16">
        <v>31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55</v>
      </c>
      <c r="F70" s="16">
        <v>137</v>
      </c>
      <c r="G70" s="16">
        <v>62</v>
      </c>
    </row>
    <row r="71" spans="1:7">
      <c r="A71" s="16" t="s">
        <v>136</v>
      </c>
      <c r="B71" s="16" t="s">
        <v>50</v>
      </c>
      <c r="C71" s="16">
        <v>25</v>
      </c>
      <c r="D71" s="16" t="s">
        <v>42</v>
      </c>
      <c r="E71" s="16">
        <v>2</v>
      </c>
      <c r="F71" s="16">
        <v>0</v>
      </c>
      <c r="G71" s="16">
        <v>2</v>
      </c>
    </row>
    <row r="72" spans="1:7">
      <c r="A72" s="16" t="s">
        <v>47</v>
      </c>
      <c r="B72" s="16" t="s">
        <v>136</v>
      </c>
      <c r="C72" s="16">
        <v>36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77</v>
      </c>
      <c r="F73" s="16">
        <v>668</v>
      </c>
      <c r="G73" s="16">
        <v>54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151</v>
      </c>
      <c r="F74" s="16">
        <v>730</v>
      </c>
      <c r="G74" s="16">
        <v>236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83</v>
      </c>
      <c r="F75" s="16">
        <v>724</v>
      </c>
      <c r="G75" s="16">
        <v>45</v>
      </c>
    </row>
    <row r="76" spans="1:7">
      <c r="A76" s="16" t="s">
        <v>129</v>
      </c>
      <c r="B76" s="16" t="s">
        <v>44</v>
      </c>
      <c r="C76" s="16">
        <v>35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130</v>
      </c>
      <c r="B77" s="16" t="s">
        <v>129</v>
      </c>
      <c r="C77" s="16">
        <v>32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137</v>
      </c>
      <c r="B78" s="16" t="s">
        <v>130</v>
      </c>
      <c r="C78" s="16">
        <v>30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138</v>
      </c>
      <c r="B79" s="16" t="s">
        <v>137</v>
      </c>
      <c r="C79" s="16">
        <v>41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91</v>
      </c>
      <c r="B80" s="16" t="s">
        <v>138</v>
      </c>
      <c r="C80" s="16">
        <v>45</v>
      </c>
      <c r="D80" s="16" t="s">
        <v>42</v>
      </c>
      <c r="E80" s="16">
        <v>338</v>
      </c>
      <c r="F80" s="16">
        <v>348</v>
      </c>
      <c r="G80" s="16">
        <v>49</v>
      </c>
    </row>
    <row r="81" spans="1:7">
      <c r="A81" s="16" t="s">
        <v>139</v>
      </c>
      <c r="B81" s="16" t="s">
        <v>91</v>
      </c>
      <c r="C81" s="16">
        <v>31</v>
      </c>
      <c r="D81" s="16" t="s">
        <v>42</v>
      </c>
      <c r="E81" s="16">
        <v>73</v>
      </c>
      <c r="F81" s="16">
        <v>79</v>
      </c>
      <c r="G81" s="16">
        <v>12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31.5</v>
      </c>
      <c r="C87" s="16">
        <v>31.5</v>
      </c>
      <c r="D87" s="16">
        <v>31.5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18</v>
      </c>
      <c r="G89" s="16">
        <v>19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19</v>
      </c>
      <c r="F90" s="16">
        <v>21</v>
      </c>
      <c r="G90" s="16">
        <v>17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22</v>
      </c>
      <c r="F91" s="16">
        <v>19</v>
      </c>
      <c r="G91" s="16">
        <v>17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20</v>
      </c>
      <c r="F92" s="16">
        <v>21</v>
      </c>
      <c r="G92" s="16">
        <v>15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22</v>
      </c>
      <c r="G93" s="16">
        <v>19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16</v>
      </c>
      <c r="F94" s="16">
        <v>16</v>
      </c>
      <c r="G94" s="16">
        <v>6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19</v>
      </c>
      <c r="F95" s="16">
        <v>0</v>
      </c>
      <c r="G95" s="16">
        <v>18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18</v>
      </c>
      <c r="F96" s="16">
        <v>0</v>
      </c>
      <c r="G96" s="16">
        <v>17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19</v>
      </c>
      <c r="F97" s="16">
        <v>19</v>
      </c>
      <c r="G97" s="16">
        <v>14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19</v>
      </c>
      <c r="F98" s="16">
        <v>0</v>
      </c>
      <c r="G98" s="16">
        <v>18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18</v>
      </c>
      <c r="F99" s="16">
        <v>17</v>
      </c>
      <c r="G99" s="16">
        <v>7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17</v>
      </c>
      <c r="F100" s="16">
        <v>18</v>
      </c>
      <c r="G100" s="16">
        <v>14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16</v>
      </c>
      <c r="G101" s="16">
        <v>16</v>
      </c>
    </row>
    <row r="102" spans="1:7">
      <c r="A102" s="16" t="s">
        <v>135</v>
      </c>
      <c r="B102" s="16" t="s">
        <v>62</v>
      </c>
      <c r="C102" s="16">
        <v>24</v>
      </c>
      <c r="D102" s="16" t="s">
        <v>42</v>
      </c>
      <c r="E102" s="16">
        <v>26.774999999999999</v>
      </c>
      <c r="F102" s="16">
        <v>26.774999999999999</v>
      </c>
      <c r="G102" s="16">
        <v>26.774999999999999</v>
      </c>
    </row>
    <row r="103" spans="1:7">
      <c r="A103" s="16" t="s">
        <v>60</v>
      </c>
      <c r="B103" s="16" t="s">
        <v>135</v>
      </c>
      <c r="C103" s="16">
        <v>35</v>
      </c>
      <c r="D103" s="16" t="s">
        <v>42</v>
      </c>
      <c r="E103" s="16">
        <v>26.774999999999999</v>
      </c>
      <c r="F103" s="16">
        <v>26.774999999999999</v>
      </c>
      <c r="G103" s="16">
        <v>26.774999999999999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26.774999999999999</v>
      </c>
      <c r="F104" s="16">
        <v>26.774999999999999</v>
      </c>
      <c r="G104" s="16">
        <v>26.774999999999999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4.59</v>
      </c>
      <c r="F105" s="16">
        <v>3.847</v>
      </c>
      <c r="G105" s="16">
        <v>2.76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3</v>
      </c>
      <c r="G106" s="16">
        <v>2.4870000000000001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4.2110000000000003</v>
      </c>
      <c r="F107" s="16">
        <v>4.25</v>
      </c>
      <c r="G107" s="16">
        <v>0.66400000000000003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16</v>
      </c>
      <c r="F108" s="16">
        <v>0</v>
      </c>
      <c r="G108" s="16">
        <v>17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26.774999999999999</v>
      </c>
      <c r="F109" s="16">
        <v>0</v>
      </c>
      <c r="G109" s="16">
        <v>26.774999999999999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17</v>
      </c>
      <c r="F110" s="16">
        <v>17</v>
      </c>
      <c r="G110" s="16">
        <v>12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17</v>
      </c>
      <c r="F111" s="16">
        <v>0</v>
      </c>
      <c r="G111" s="16">
        <v>19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2</v>
      </c>
      <c r="F112" s="16">
        <v>2</v>
      </c>
      <c r="G112" s="16">
        <v>1</v>
      </c>
    </row>
    <row r="113" spans="1:7">
      <c r="A113" s="16" t="s">
        <v>136</v>
      </c>
      <c r="B113" s="16" t="s">
        <v>50</v>
      </c>
      <c r="C113" s="16">
        <v>25</v>
      </c>
      <c r="D113" s="16" t="s">
        <v>42</v>
      </c>
      <c r="E113" s="16">
        <v>5</v>
      </c>
      <c r="F113" s="16">
        <v>4</v>
      </c>
      <c r="G113" s="16">
        <v>3</v>
      </c>
    </row>
    <row r="114" spans="1:7">
      <c r="A114" s="16" t="s">
        <v>47</v>
      </c>
      <c r="B114" s="16" t="s">
        <v>136</v>
      </c>
      <c r="C114" s="16">
        <v>36</v>
      </c>
      <c r="D114" s="16" t="s">
        <v>42</v>
      </c>
      <c r="E114" s="16">
        <v>26</v>
      </c>
      <c r="F114" s="16">
        <v>26</v>
      </c>
      <c r="G114" s="16">
        <v>26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13</v>
      </c>
      <c r="F115" s="16">
        <v>18</v>
      </c>
      <c r="G115" s="16">
        <v>17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12</v>
      </c>
      <c r="F116" s="16">
        <v>19</v>
      </c>
      <c r="G116" s="16">
        <v>16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15</v>
      </c>
      <c r="F117" s="16">
        <v>19</v>
      </c>
      <c r="G117" s="16">
        <v>15</v>
      </c>
    </row>
    <row r="118" spans="1:7">
      <c r="A118" s="16" t="s">
        <v>129</v>
      </c>
      <c r="B118" s="16" t="s">
        <v>44</v>
      </c>
      <c r="C118" s="16">
        <v>35</v>
      </c>
      <c r="D118" s="16" t="s">
        <v>42</v>
      </c>
      <c r="E118" s="16">
        <v>8</v>
      </c>
      <c r="F118" s="16">
        <v>15</v>
      </c>
      <c r="G118" s="16">
        <v>16</v>
      </c>
    </row>
    <row r="119" spans="1:7">
      <c r="A119" s="16" t="s">
        <v>130</v>
      </c>
      <c r="B119" s="16" t="s">
        <v>129</v>
      </c>
      <c r="C119" s="16">
        <v>32</v>
      </c>
      <c r="D119" s="16" t="s">
        <v>42</v>
      </c>
      <c r="E119" s="16">
        <v>26</v>
      </c>
      <c r="F119" s="16">
        <v>26</v>
      </c>
      <c r="G119" s="16">
        <v>26</v>
      </c>
    </row>
    <row r="120" spans="1:7">
      <c r="A120" s="16" t="s">
        <v>137</v>
      </c>
      <c r="B120" s="16" t="s">
        <v>130</v>
      </c>
      <c r="C120" s="16">
        <v>30</v>
      </c>
      <c r="D120" s="16" t="s">
        <v>42</v>
      </c>
      <c r="E120" s="16">
        <v>16</v>
      </c>
      <c r="F120" s="16">
        <v>15</v>
      </c>
      <c r="G120" s="16">
        <v>12</v>
      </c>
    </row>
    <row r="121" spans="1:7">
      <c r="A121" s="16" t="s">
        <v>138</v>
      </c>
      <c r="B121" s="16" t="s">
        <v>137</v>
      </c>
      <c r="C121" s="16">
        <v>41</v>
      </c>
      <c r="D121" s="16" t="s">
        <v>42</v>
      </c>
      <c r="E121" s="16">
        <v>17</v>
      </c>
      <c r="F121" s="16">
        <v>14</v>
      </c>
      <c r="G121" s="16">
        <v>11</v>
      </c>
    </row>
    <row r="122" spans="1:7">
      <c r="A122" s="16" t="s">
        <v>91</v>
      </c>
      <c r="B122" s="16" t="s">
        <v>138</v>
      </c>
      <c r="C122" s="16">
        <v>45</v>
      </c>
      <c r="D122" s="16" t="s">
        <v>42</v>
      </c>
      <c r="E122" s="16">
        <v>11</v>
      </c>
      <c r="F122" s="16">
        <v>10</v>
      </c>
      <c r="G122" s="16">
        <v>5</v>
      </c>
    </row>
    <row r="123" spans="1:7">
      <c r="A123" s="16" t="s">
        <v>139</v>
      </c>
      <c r="B123" s="16" t="s">
        <v>91</v>
      </c>
      <c r="C123" s="16">
        <v>31</v>
      </c>
      <c r="D123" s="16" t="s">
        <v>42</v>
      </c>
      <c r="E123" s="16">
        <v>11</v>
      </c>
      <c r="F123" s="16">
        <v>10</v>
      </c>
      <c r="G123" s="16">
        <v>5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BB58-281D-4E0F-8B8B-0CA22AF9C184}">
  <dimension ref="A1:N129"/>
  <sheetViews>
    <sheetView topLeftCell="A7" workbookViewId="0">
      <selection activeCell="J32" sqref="J32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140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11806</v>
      </c>
      <c r="C4" s="16">
        <v>9903</v>
      </c>
      <c r="D4" s="16">
        <v>17319</v>
      </c>
    </row>
    <row r="5" spans="1:14">
      <c r="A5" s="16" t="s">
        <v>36</v>
      </c>
      <c r="B5" s="16">
        <v>30</v>
      </c>
      <c r="C5" s="16">
        <v>25</v>
      </c>
      <c r="D5" s="16">
        <v>44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7">
        <v>44043</v>
      </c>
      <c r="C7" s="16">
        <v>31</v>
      </c>
      <c r="D7" s="16" t="s">
        <v>42</v>
      </c>
      <c r="E7" s="16">
        <v>521</v>
      </c>
      <c r="F7" s="16">
        <v>1153</v>
      </c>
      <c r="G7" s="16">
        <v>574</v>
      </c>
      <c r="H7" s="16">
        <f>Tabla10[[#This Row],[P1 + P4]]*VLOOKUP(MONTH(Tabla10[[#This Row],[Fecha final]]),Tabla20[#All],2,FALSE)</f>
        <v>521</v>
      </c>
      <c r="I7" s="16">
        <f>Tabla10[[#This Row],[P2 + P5]]*VLOOKUP(MONTH(Tabla10[[#This Row],[Fecha final]]),Tabla20[#All],3,FALSE)</f>
        <v>1153</v>
      </c>
      <c r="J7" s="16">
        <f>(Tabla10[[#This Row],[P3 + P6]])*VLOOKUP(MONTH(Tabla10[[#This Row],[Fecha final]]),Tabla20[#All],4,FALSE)</f>
        <v>0</v>
      </c>
      <c r="K7" s="16">
        <f>Tabla10[[#This Row],[P1 + P4]]*VLOOKUP(MONTH(Tabla10[[#This Row],[Fecha final]]),Tabla20[#All],5,FALSE)</f>
        <v>0</v>
      </c>
      <c r="L7" s="16">
        <f>Tabla10[[#This Row],[P2 + P5]]*VLOOKUP(MONTH(Tabla10[[#This Row],[Fecha final]]),Tabla20[#All],6,FALSE)</f>
        <v>0</v>
      </c>
      <c r="M7" s="16">
        <f>Tabla10[[#This Row],[P3 + P6]]*VLOOKUP(MONTH(Tabla10[[#This Row],[Fecha final]]),Tabla20[#All],7,FALSE)</f>
        <v>574</v>
      </c>
      <c r="N7" s="16">
        <f>YEAR(Tabla10[[#This Row],[Fecha final]])</f>
        <v>2020</v>
      </c>
    </row>
    <row r="8" spans="1:14">
      <c r="A8" s="17">
        <v>44043</v>
      </c>
      <c r="B8" s="17">
        <v>44074</v>
      </c>
      <c r="C8" s="16">
        <v>31</v>
      </c>
      <c r="D8" s="16" t="s">
        <v>42</v>
      </c>
      <c r="E8" s="16">
        <v>617</v>
      </c>
      <c r="F8" s="16">
        <v>1226</v>
      </c>
      <c r="G8" s="16">
        <v>633</v>
      </c>
      <c r="H8" s="16">
        <f>Tabla10[[#This Row],[P1 + P4]]*VLOOKUP(MONTH(Tabla10[[#This Row],[Fecha final]]),Tabla20[#All],2,FALSE)</f>
        <v>0</v>
      </c>
      <c r="I8" s="16">
        <f>Tabla10[[#This Row],[P2 + P5]]*VLOOKUP(MONTH(Tabla10[[#This Row],[Fecha final]]),Tabla20[#All],3,FALSE)</f>
        <v>0</v>
      </c>
      <c r="J8" s="16">
        <f>(Tabla10[[#This Row],[P3 + P6]])*VLOOKUP(MONTH(Tabla10[[#This Row],[Fecha final]]),Tabla20[#All],4,FALSE)</f>
        <v>212.4348</v>
      </c>
      <c r="K8" s="16">
        <f>Tabla10[[#This Row],[P1 + P4]]*VLOOKUP(MONTH(Tabla10[[#This Row],[Fecha final]]),Tabla20[#All],5,FALSE)</f>
        <v>617</v>
      </c>
      <c r="L8" s="16">
        <f>Tabla10[[#This Row],[P2 + P5]]*VLOOKUP(MONTH(Tabla10[[#This Row],[Fecha final]]),Tabla20[#All],6,FALSE)</f>
        <v>0</v>
      </c>
      <c r="M8" s="16">
        <f>Tabla10[[#This Row],[P3 + P6]]*VLOOKUP(MONTH(Tabla10[[#This Row],[Fecha final]]),Tabla20[#All],7,FALSE)</f>
        <v>420.5652</v>
      </c>
      <c r="N8" s="16">
        <f>YEAR(Tabla10[[#This Row],[Fecha final]])</f>
        <v>2020</v>
      </c>
    </row>
    <row r="9" spans="1:14">
      <c r="A9" s="17">
        <v>44074</v>
      </c>
      <c r="B9" s="17">
        <v>44104</v>
      </c>
      <c r="C9" s="16">
        <v>30</v>
      </c>
      <c r="D9" s="16" t="s">
        <v>42</v>
      </c>
      <c r="E9" s="16">
        <v>432</v>
      </c>
      <c r="F9" s="16">
        <v>1103</v>
      </c>
      <c r="G9" s="16">
        <v>560</v>
      </c>
      <c r="H9" s="16">
        <f>Tabla10[[#This Row],[P1 + P4]]*VLOOKUP(MONTH(Tabla10[[#This Row],[Fecha final]]),Tabla20[#All],2,FALSE)</f>
        <v>0</v>
      </c>
      <c r="I9" s="16">
        <f>Tabla10[[#This Row],[P2 + P5]]*VLOOKUP(MONTH(Tabla10[[#This Row],[Fecha final]]),Tabla20[#All],3,FALSE)</f>
        <v>0</v>
      </c>
      <c r="J9" s="16">
        <f>(Tabla10[[#This Row],[P3 + P6]])*VLOOKUP(MONTH(Tabla10[[#This Row],[Fecha final]]),Tabla20[#All],4,FALSE)</f>
        <v>195.88800000000001</v>
      </c>
      <c r="K9" s="16">
        <f>Tabla10[[#This Row],[P1 + P4]]*VLOOKUP(MONTH(Tabla10[[#This Row],[Fecha final]]),Tabla20[#All],5,FALSE)</f>
        <v>432</v>
      </c>
      <c r="L9" s="16">
        <f>Tabla10[[#This Row],[P2 + P5]]*VLOOKUP(MONTH(Tabla10[[#This Row],[Fecha final]]),Tabla20[#All],6,FALSE)</f>
        <v>0</v>
      </c>
      <c r="M9" s="16">
        <f>Tabla10[[#This Row],[P3 + P6]]*VLOOKUP(MONTH(Tabla10[[#This Row],[Fecha final]]),Tabla20[#All],7,FALSE)</f>
        <v>364.11200000000002</v>
      </c>
      <c r="N9" s="16">
        <f>YEAR(Tabla10[[#This Row],[Fecha final]])</f>
        <v>2020</v>
      </c>
    </row>
    <row r="10" spans="1:14">
      <c r="A10" s="17">
        <v>44104</v>
      </c>
      <c r="B10" s="17">
        <v>44135</v>
      </c>
      <c r="C10" s="16">
        <v>31</v>
      </c>
      <c r="D10" s="16" t="s">
        <v>42</v>
      </c>
      <c r="E10" s="16">
        <v>590</v>
      </c>
      <c r="F10" s="16">
        <v>1709</v>
      </c>
      <c r="G10" s="16">
        <v>785</v>
      </c>
      <c r="H10" s="16">
        <f>Tabla10[[#This Row],[P1 + P4]]*VLOOKUP(MONTH(Tabla10[[#This Row],[Fecha final]]),Tabla20[#All],2,FALSE)</f>
        <v>0</v>
      </c>
      <c r="I10" s="16">
        <f>Tabla10[[#This Row],[P2 + P5]]*VLOOKUP(MONTH(Tabla10[[#This Row],[Fecha final]]),Tabla20[#All],3,FALSE)</f>
        <v>0</v>
      </c>
      <c r="J10" s="16">
        <f>(Tabla10[[#This Row],[P3 + P6]])*VLOOKUP(MONTH(Tabla10[[#This Row],[Fecha final]]),Tabla20[#All],4,FALSE)</f>
        <v>0</v>
      </c>
      <c r="K10" s="16">
        <f>Tabla10[[#This Row],[P1 + P4]]*VLOOKUP(MONTH(Tabla10[[#This Row],[Fecha final]]),Tabla20[#All],5,FALSE)</f>
        <v>590</v>
      </c>
      <c r="L10" s="16">
        <f>Tabla10[[#This Row],[P2 + P5]]*VLOOKUP(MONTH(Tabla10[[#This Row],[Fecha final]]),Tabla20[#All],6,FALSE)</f>
        <v>1709</v>
      </c>
      <c r="M10" s="16">
        <f>Tabla10[[#This Row],[P3 + P6]]*VLOOKUP(MONTH(Tabla10[[#This Row],[Fecha final]]),Tabla20[#All],7,FALSE)</f>
        <v>785</v>
      </c>
      <c r="N10" s="16">
        <f>YEAR(Tabla10[[#This Row],[Fecha final]])</f>
        <v>2020</v>
      </c>
    </row>
    <row r="11" spans="1:14">
      <c r="A11" s="17">
        <v>44135</v>
      </c>
      <c r="B11" s="17">
        <v>44165</v>
      </c>
      <c r="C11" s="16">
        <v>30</v>
      </c>
      <c r="D11" s="16" t="s">
        <v>42</v>
      </c>
      <c r="E11" s="16">
        <v>459</v>
      </c>
      <c r="F11" s="16">
        <v>2992</v>
      </c>
      <c r="G11" s="16">
        <v>894</v>
      </c>
      <c r="H11" s="16">
        <f>Tabla10[[#This Row],[P1 + P4]]*VLOOKUP(MONTH(Tabla10[[#This Row],[Fecha final]]),Tabla20[#All],2,FALSE)</f>
        <v>0</v>
      </c>
      <c r="I11" s="16">
        <f>Tabla10[[#This Row],[P2 + P5]]*VLOOKUP(MONTH(Tabla10[[#This Row],[Fecha final]]),Tabla20[#All],3,FALSE)</f>
        <v>2992</v>
      </c>
      <c r="J11" s="16">
        <f>(Tabla10[[#This Row],[P3 + P6]])*VLOOKUP(MONTH(Tabla10[[#This Row],[Fecha final]]),Tabla20[#All],4,FALSE)</f>
        <v>247.45919999999998</v>
      </c>
      <c r="K11" s="16">
        <f>Tabla10[[#This Row],[P1 + P4]]*VLOOKUP(MONTH(Tabla10[[#This Row],[Fecha final]]),Tabla20[#All],5,FALSE)</f>
        <v>0</v>
      </c>
      <c r="L11" s="16">
        <f>Tabla10[[#This Row],[P2 + P5]]*VLOOKUP(MONTH(Tabla10[[#This Row],[Fecha final]]),Tabla20[#All],6,FALSE)</f>
        <v>0</v>
      </c>
      <c r="M11" s="16">
        <f>Tabla10[[#This Row],[P3 + P6]]*VLOOKUP(MONTH(Tabla10[[#This Row],[Fecha final]]),Tabla20[#All],7,FALSE)</f>
        <v>646.54079999999999</v>
      </c>
      <c r="N11" s="16">
        <f>YEAR(Tabla10[[#This Row],[Fecha final]])</f>
        <v>2020</v>
      </c>
    </row>
    <row r="12" spans="1:14">
      <c r="A12" s="17">
        <v>44165</v>
      </c>
      <c r="B12" s="17">
        <v>44196</v>
      </c>
      <c r="C12" s="16">
        <v>31</v>
      </c>
      <c r="D12" s="16" t="s">
        <v>42</v>
      </c>
      <c r="E12" s="16">
        <v>618</v>
      </c>
      <c r="F12" s="16">
        <v>4971</v>
      </c>
      <c r="G12" s="16">
        <v>934</v>
      </c>
      <c r="H12" s="16">
        <f>Tabla10[[#This Row],[P1 + P4]]*VLOOKUP(MONTH(Tabla10[[#This Row],[Fecha final]]),Tabla20[#All],2,FALSE)</f>
        <v>618</v>
      </c>
      <c r="I12" s="16">
        <f>Tabla10[[#This Row],[P2 + P5]]*VLOOKUP(MONTH(Tabla10[[#This Row],[Fecha final]]),Tabla20[#All],3,FALSE)</f>
        <v>4971</v>
      </c>
      <c r="J12" s="16">
        <f>(Tabla10[[#This Row],[P3 + P6]])*VLOOKUP(MONTH(Tabla10[[#This Row],[Fecha final]]),Tabla20[#All],4,FALSE)</f>
        <v>0</v>
      </c>
      <c r="K12" s="16">
        <f>Tabla10[[#This Row],[P1 + P4]]*VLOOKUP(MONTH(Tabla10[[#This Row],[Fecha final]]),Tabla20[#All],5,FALSE)</f>
        <v>0</v>
      </c>
      <c r="L12" s="16">
        <f>Tabla10[[#This Row],[P2 + P5]]*VLOOKUP(MONTH(Tabla10[[#This Row],[Fecha final]]),Tabla20[#All],6,FALSE)</f>
        <v>0</v>
      </c>
      <c r="M12" s="16">
        <f>Tabla10[[#This Row],[P3 + P6]]*VLOOKUP(MONTH(Tabla10[[#This Row],[Fecha final]]),Tabla20[#All],7,FALSE)</f>
        <v>934</v>
      </c>
      <c r="N12" s="16">
        <f>YEAR(Tabla10[[#This Row],[Fecha final]])</f>
        <v>2020</v>
      </c>
    </row>
    <row r="13" spans="1:14">
      <c r="A13" s="17">
        <v>44196</v>
      </c>
      <c r="B13" s="17">
        <v>44227</v>
      </c>
      <c r="C13" s="16">
        <v>31</v>
      </c>
      <c r="D13" s="16" t="s">
        <v>42</v>
      </c>
      <c r="E13" s="16">
        <v>574</v>
      </c>
      <c r="F13" s="16">
        <v>4783</v>
      </c>
      <c r="G13" s="16">
        <v>895</v>
      </c>
      <c r="H13" s="16">
        <f>Tabla10[[#This Row],[P1 + P4]]*VLOOKUP(MONTH(Tabla10[[#This Row],[Fecha final]]),Tabla20[#All],2,FALSE)</f>
        <v>574</v>
      </c>
      <c r="I13" s="16">
        <f>Tabla10[[#This Row],[P2 + P5]]*VLOOKUP(MONTH(Tabla10[[#This Row],[Fecha final]]),Tabla20[#All],3,FALSE)</f>
        <v>4783</v>
      </c>
      <c r="J13" s="16">
        <f>(Tabla10[[#This Row],[P3 + P6]])*VLOOKUP(MONTH(Tabla10[[#This Row],[Fecha final]]),Tabla20[#All],4,FALSE)</f>
        <v>0</v>
      </c>
      <c r="K13" s="16">
        <f>Tabla10[[#This Row],[P1 + P4]]*VLOOKUP(MONTH(Tabla10[[#This Row],[Fecha final]]),Tabla20[#All],5,FALSE)</f>
        <v>0</v>
      </c>
      <c r="L13" s="16">
        <f>Tabla10[[#This Row],[P2 + P5]]*VLOOKUP(MONTH(Tabla10[[#This Row],[Fecha final]]),Tabla20[#All],6,FALSE)</f>
        <v>0</v>
      </c>
      <c r="M13" s="16">
        <f>Tabla10[[#This Row],[P3 + P6]]*VLOOKUP(MONTH(Tabla10[[#This Row],[Fecha final]]),Tabla20[#All],7,FALSE)</f>
        <v>895</v>
      </c>
      <c r="N13" s="16">
        <f>YEAR(Tabla10[[#This Row],[Fecha final]])</f>
        <v>2021</v>
      </c>
    </row>
    <row r="14" spans="1:14">
      <c r="A14" s="17">
        <v>44227</v>
      </c>
      <c r="B14" s="17">
        <v>44255</v>
      </c>
      <c r="C14" s="16">
        <v>28</v>
      </c>
      <c r="D14" s="16" t="s">
        <v>42</v>
      </c>
      <c r="E14" s="16">
        <v>449</v>
      </c>
      <c r="F14" s="16">
        <v>3449</v>
      </c>
      <c r="G14" s="16">
        <v>827</v>
      </c>
      <c r="H14" s="16">
        <f>Tabla10[[#This Row],[P1 + P4]]*VLOOKUP(MONTH(Tabla10[[#This Row],[Fecha final]]),Tabla20[#All],2,FALSE)</f>
        <v>449</v>
      </c>
      <c r="I14" s="16">
        <f>Tabla10[[#This Row],[P2 + P5]]*VLOOKUP(MONTH(Tabla10[[#This Row],[Fecha final]]),Tabla20[#All],3,FALSE)</f>
        <v>3449</v>
      </c>
      <c r="J14" s="16">
        <f>(Tabla10[[#This Row],[P3 + P6]])*VLOOKUP(MONTH(Tabla10[[#This Row],[Fecha final]]),Tabla20[#All],4,FALSE)</f>
        <v>0</v>
      </c>
      <c r="K14" s="16">
        <f>Tabla10[[#This Row],[P1 + P4]]*VLOOKUP(MONTH(Tabla10[[#This Row],[Fecha final]]),Tabla20[#All],5,FALSE)</f>
        <v>0</v>
      </c>
      <c r="L14" s="16">
        <f>Tabla10[[#This Row],[P2 + P5]]*VLOOKUP(MONTH(Tabla10[[#This Row],[Fecha final]]),Tabla20[#All],6,FALSE)</f>
        <v>0</v>
      </c>
      <c r="M14" s="16">
        <f>Tabla10[[#This Row],[P3 + P6]]*VLOOKUP(MONTH(Tabla10[[#This Row],[Fecha final]]),Tabla20[#All],7,FALSE)</f>
        <v>827</v>
      </c>
      <c r="N14" s="16">
        <f>YEAR(Tabla10[[#This Row],[Fecha final]])</f>
        <v>2021</v>
      </c>
    </row>
    <row r="15" spans="1:14">
      <c r="A15" s="17">
        <v>44255</v>
      </c>
      <c r="B15" s="17">
        <v>44286</v>
      </c>
      <c r="C15" s="16">
        <v>31</v>
      </c>
      <c r="D15" s="16" t="s">
        <v>42</v>
      </c>
      <c r="E15" s="16">
        <v>575</v>
      </c>
      <c r="F15" s="16">
        <v>3780</v>
      </c>
      <c r="G15" s="16">
        <v>930</v>
      </c>
      <c r="H15" s="16">
        <f>Tabla10[[#This Row],[P1 + P4]]*VLOOKUP(MONTH(Tabla10[[#This Row],[Fecha final]]),Tabla20[#All],2,FALSE)</f>
        <v>0</v>
      </c>
      <c r="I15" s="16">
        <f>Tabla10[[#This Row],[P2 + P5]]*VLOOKUP(MONTH(Tabla10[[#This Row],[Fecha final]]),Tabla20[#All],3,FALSE)</f>
        <v>3780</v>
      </c>
      <c r="J15" s="16">
        <f>(Tabla10[[#This Row],[P3 + P6]])*VLOOKUP(MONTH(Tabla10[[#This Row],[Fecha final]]),Tabla20[#All],4,FALSE)</f>
        <v>278.81400000000002</v>
      </c>
      <c r="K15" s="16">
        <f>Tabla10[[#This Row],[P1 + P4]]*VLOOKUP(MONTH(Tabla10[[#This Row],[Fecha final]]),Tabla20[#All],5,FALSE)</f>
        <v>0</v>
      </c>
      <c r="L15" s="16">
        <f>Tabla10[[#This Row],[P2 + P5]]*VLOOKUP(MONTH(Tabla10[[#This Row],[Fecha final]]),Tabla20[#All],6,FALSE)</f>
        <v>0</v>
      </c>
      <c r="M15" s="16">
        <f>Tabla10[[#This Row],[P3 + P6]]*VLOOKUP(MONTH(Tabla10[[#This Row],[Fecha final]]),Tabla20[#All],7,FALSE)</f>
        <v>651.18600000000004</v>
      </c>
      <c r="N15" s="16">
        <f>YEAR(Tabla10[[#This Row],[Fecha final]])</f>
        <v>2021</v>
      </c>
    </row>
    <row r="16" spans="1:14">
      <c r="A16" s="17">
        <v>44286</v>
      </c>
      <c r="B16" s="17">
        <v>44316</v>
      </c>
      <c r="C16" s="16">
        <v>30</v>
      </c>
      <c r="D16" s="16" t="s">
        <v>42</v>
      </c>
      <c r="E16" s="16">
        <v>788</v>
      </c>
      <c r="F16" s="16">
        <v>1722</v>
      </c>
      <c r="G16" s="16">
        <v>798</v>
      </c>
      <c r="H16" s="16">
        <f>Tabla10[[#This Row],[P1 + P4]]*VLOOKUP(MONTH(Tabla10[[#This Row],[Fecha final]]),Tabla20[#All],2,FALSE)</f>
        <v>0</v>
      </c>
      <c r="I16" s="16">
        <f>Tabla10[[#This Row],[P2 + P5]]*VLOOKUP(MONTH(Tabla10[[#This Row],[Fecha final]]),Tabla20[#All],3,FALSE)</f>
        <v>0</v>
      </c>
      <c r="J16" s="16">
        <f>(Tabla10[[#This Row],[P3 + P6]])*VLOOKUP(MONTH(Tabla10[[#This Row],[Fecha final]]),Tabla20[#All],4,FALSE)</f>
        <v>0</v>
      </c>
      <c r="K16" s="16">
        <f>Tabla10[[#This Row],[P1 + P4]]*VLOOKUP(MONTH(Tabla10[[#This Row],[Fecha final]]),Tabla20[#All],5,FALSE)</f>
        <v>788</v>
      </c>
      <c r="L16" s="16">
        <f>Tabla10[[#This Row],[P2 + P5]]*VLOOKUP(MONTH(Tabla10[[#This Row],[Fecha final]]),Tabla20[#All],6,FALSE)</f>
        <v>1722</v>
      </c>
      <c r="M16" s="16">
        <f>Tabla10[[#This Row],[P3 + P6]]*VLOOKUP(MONTH(Tabla10[[#This Row],[Fecha final]]),Tabla20[#All],7,FALSE)</f>
        <v>798</v>
      </c>
      <c r="N16" s="16">
        <f>YEAR(Tabla10[[#This Row],[Fecha final]])</f>
        <v>2021</v>
      </c>
    </row>
    <row r="17" spans="1:14">
      <c r="A17" s="17">
        <v>44316</v>
      </c>
      <c r="B17" s="17">
        <v>44347</v>
      </c>
      <c r="C17" s="16">
        <v>31</v>
      </c>
      <c r="D17" s="16" t="s">
        <v>42</v>
      </c>
      <c r="E17" s="16">
        <v>441</v>
      </c>
      <c r="F17" s="16">
        <v>1149</v>
      </c>
      <c r="G17" s="16">
        <v>630</v>
      </c>
      <c r="H17" s="16">
        <f>Tabla10[[#This Row],[P1 + P4]]*VLOOKUP(MONTH(Tabla10[[#This Row],[Fecha final]]),Tabla20[#All],2,FALSE)</f>
        <v>0</v>
      </c>
      <c r="I17" s="16">
        <f>Tabla10[[#This Row],[P2 + P5]]*VLOOKUP(MONTH(Tabla10[[#This Row],[Fecha final]]),Tabla20[#All],3,FALSE)</f>
        <v>0</v>
      </c>
      <c r="J17" s="16">
        <f>(Tabla10[[#This Row],[P3 + P6]])*VLOOKUP(MONTH(Tabla10[[#This Row],[Fecha final]]),Tabla20[#All],4,FALSE)</f>
        <v>0</v>
      </c>
      <c r="K17" s="16">
        <f>Tabla10[[#This Row],[P1 + P4]]*VLOOKUP(MONTH(Tabla10[[#This Row],[Fecha final]]),Tabla20[#All],5,FALSE)</f>
        <v>441</v>
      </c>
      <c r="L17" s="16">
        <f>Tabla10[[#This Row],[P2 + P5]]*VLOOKUP(MONTH(Tabla10[[#This Row],[Fecha final]]),Tabla20[#All],6,FALSE)</f>
        <v>1149</v>
      </c>
      <c r="M17" s="16">
        <f>Tabla10[[#This Row],[P3 + P6]]*VLOOKUP(MONTH(Tabla10[[#This Row],[Fecha final]]),Tabla20[#All],7,FALSE)</f>
        <v>630</v>
      </c>
      <c r="N17" s="16">
        <f>YEAR(Tabla10[[#This Row],[Fecha final]])</f>
        <v>2021</v>
      </c>
    </row>
    <row r="18" spans="1:14">
      <c r="A18" s="17">
        <v>44347</v>
      </c>
      <c r="B18" s="17">
        <v>44377</v>
      </c>
      <c r="C18" s="16">
        <v>30</v>
      </c>
      <c r="D18" s="16" t="s">
        <v>42</v>
      </c>
      <c r="E18" s="16">
        <v>491</v>
      </c>
      <c r="F18" s="16">
        <v>0</v>
      </c>
      <c r="G18" s="16">
        <v>1656</v>
      </c>
      <c r="H18" s="16">
        <f>Tabla10[[#This Row],[P1 + P4]]*VLOOKUP(MONTH(Tabla10[[#This Row],[Fecha final]]),Tabla20[#All],2,FALSE)</f>
        <v>0</v>
      </c>
      <c r="I18" s="16">
        <f>Tabla10[[#This Row],[P2 + P5]]*VLOOKUP(MONTH(Tabla10[[#This Row],[Fecha final]]),Tabla20[#All],3,FALSE)</f>
        <v>0</v>
      </c>
      <c r="J18" s="16">
        <f>(Tabla10[[#This Row],[P3 + P6]])*VLOOKUP(MONTH(Tabla10[[#This Row],[Fecha final]]),Tabla20[#All],4,FALSE)</f>
        <v>579.26880000000006</v>
      </c>
      <c r="K18" s="16">
        <f>Tabla10[[#This Row],[P1 + P4]]*VLOOKUP(MONTH(Tabla10[[#This Row],[Fecha final]]),Tabla20[#All],5,FALSE)</f>
        <v>491</v>
      </c>
      <c r="L18" s="16">
        <f>Tabla10[[#This Row],[P2 + P5]]*VLOOKUP(MONTH(Tabla10[[#This Row],[Fecha final]]),Tabla20[#All],6,FALSE)</f>
        <v>0</v>
      </c>
      <c r="M18" s="16">
        <f>Tabla10[[#This Row],[P3 + P6]]*VLOOKUP(MONTH(Tabla10[[#This Row],[Fecha final]]),Tabla20[#All],7,FALSE)</f>
        <v>1076.7311999999999</v>
      </c>
      <c r="N18" s="16">
        <f>YEAR(Tabla10[[#This Row],[Fecha final]])</f>
        <v>2021</v>
      </c>
    </row>
    <row r="19" spans="1:14">
      <c r="A19" s="17">
        <v>44377</v>
      </c>
      <c r="B19" s="17">
        <v>44408</v>
      </c>
      <c r="C19" s="16">
        <v>31</v>
      </c>
      <c r="D19" s="16" t="s">
        <v>42</v>
      </c>
      <c r="E19" s="16">
        <v>852</v>
      </c>
      <c r="F19" s="16">
        <v>548</v>
      </c>
      <c r="G19" s="16">
        <v>972</v>
      </c>
      <c r="H19" s="16">
        <f>Tabla10[[#This Row],[P1 + P4]]*VLOOKUP(MONTH(Tabla10[[#This Row],[Fecha final]]),Tabla20[#All],2,FALSE)</f>
        <v>852</v>
      </c>
      <c r="I19" s="16">
        <f>Tabla10[[#This Row],[P2 + P5]]*VLOOKUP(MONTH(Tabla10[[#This Row],[Fecha final]]),Tabla20[#All],3,FALSE)</f>
        <v>548</v>
      </c>
      <c r="J19" s="16">
        <f>(Tabla10[[#This Row],[P3 + P6]])*VLOOKUP(MONTH(Tabla10[[#This Row],[Fecha final]]),Tabla20[#All],4,FALSE)</f>
        <v>0</v>
      </c>
      <c r="K19" s="16">
        <f>Tabla10[[#This Row],[P1 + P4]]*VLOOKUP(MONTH(Tabla10[[#This Row],[Fecha final]]),Tabla20[#All],5,FALSE)</f>
        <v>0</v>
      </c>
      <c r="L19" s="16">
        <f>Tabla10[[#This Row],[P2 + P5]]*VLOOKUP(MONTH(Tabla10[[#This Row],[Fecha final]]),Tabla20[#All],6,FALSE)</f>
        <v>0</v>
      </c>
      <c r="M19" s="16">
        <f>Tabla10[[#This Row],[P3 + P6]]*VLOOKUP(MONTH(Tabla10[[#This Row],[Fecha final]]),Tabla20[#All],7,FALSE)</f>
        <v>972</v>
      </c>
      <c r="N19" s="16">
        <f>YEAR(Tabla10[[#This Row],[Fecha final]])</f>
        <v>2021</v>
      </c>
    </row>
    <row r="20" spans="1:14">
      <c r="A20" s="17">
        <v>44408</v>
      </c>
      <c r="B20" s="17">
        <v>44439</v>
      </c>
      <c r="C20" s="16">
        <v>31</v>
      </c>
      <c r="D20" s="16" t="s">
        <v>42</v>
      </c>
      <c r="E20" s="16">
        <v>488</v>
      </c>
      <c r="F20" s="16">
        <v>0</v>
      </c>
      <c r="G20" s="16">
        <v>1768</v>
      </c>
      <c r="H20" s="16">
        <f>Tabla10[[#This Row],[P1 + P4]]*VLOOKUP(MONTH(Tabla10[[#This Row],[Fecha final]]),Tabla20[#All],2,FALSE)</f>
        <v>0</v>
      </c>
      <c r="I20" s="16">
        <f>Tabla10[[#This Row],[P2 + P5]]*VLOOKUP(MONTH(Tabla10[[#This Row],[Fecha final]]),Tabla20[#All],3,FALSE)</f>
        <v>0</v>
      </c>
      <c r="J20" s="16">
        <f>(Tabla10[[#This Row],[P3 + P6]])*VLOOKUP(MONTH(Tabla10[[#This Row],[Fecha final]]),Tabla20[#All],4,FALSE)</f>
        <v>593.34080000000006</v>
      </c>
      <c r="K20" s="16">
        <f>Tabla10[[#This Row],[P1 + P4]]*VLOOKUP(MONTH(Tabla10[[#This Row],[Fecha final]]),Tabla20[#All],5,FALSE)</f>
        <v>488</v>
      </c>
      <c r="L20" s="16">
        <f>Tabla10[[#This Row],[P2 + P5]]*VLOOKUP(MONTH(Tabla10[[#This Row],[Fecha final]]),Tabla20[#All],6,FALSE)</f>
        <v>0</v>
      </c>
      <c r="M20" s="16">
        <f>Tabla10[[#This Row],[P3 + P6]]*VLOOKUP(MONTH(Tabla10[[#This Row],[Fecha final]]),Tabla20[#All],7,FALSE)</f>
        <v>1174.6592000000001</v>
      </c>
      <c r="N20" s="16">
        <f>YEAR(Tabla10[[#This Row],[Fecha final]])</f>
        <v>2021</v>
      </c>
    </row>
    <row r="21" spans="1:14">
      <c r="A21" s="17">
        <v>44439</v>
      </c>
      <c r="B21" s="17">
        <v>44469</v>
      </c>
      <c r="C21" s="16">
        <v>30</v>
      </c>
      <c r="D21" s="16" t="s">
        <v>42</v>
      </c>
      <c r="E21" s="16">
        <v>514</v>
      </c>
      <c r="F21" s="16">
        <v>0</v>
      </c>
      <c r="G21" s="16">
        <v>1570</v>
      </c>
      <c r="H21" s="16">
        <f>Tabla10[[#This Row],[P1 + P4]]*VLOOKUP(MONTH(Tabla10[[#This Row],[Fecha final]]),Tabla20[#All],2,FALSE)</f>
        <v>0</v>
      </c>
      <c r="I21" s="16">
        <f>Tabla10[[#This Row],[P2 + P5]]*VLOOKUP(MONTH(Tabla10[[#This Row],[Fecha final]]),Tabla20[#All],3,FALSE)</f>
        <v>0</v>
      </c>
      <c r="J21" s="16">
        <f>(Tabla10[[#This Row],[P3 + P6]])*VLOOKUP(MONTH(Tabla10[[#This Row],[Fecha final]]),Tabla20[#All],4,FALSE)</f>
        <v>549.18600000000004</v>
      </c>
      <c r="K21" s="16">
        <f>Tabla10[[#This Row],[P1 + P4]]*VLOOKUP(MONTH(Tabla10[[#This Row],[Fecha final]]),Tabla20[#All],5,FALSE)</f>
        <v>514</v>
      </c>
      <c r="L21" s="16">
        <f>Tabla10[[#This Row],[P2 + P5]]*VLOOKUP(MONTH(Tabla10[[#This Row],[Fecha final]]),Tabla20[#All],6,FALSE)</f>
        <v>0</v>
      </c>
      <c r="M21" s="16">
        <f>Tabla10[[#This Row],[P3 + P6]]*VLOOKUP(MONTH(Tabla10[[#This Row],[Fecha final]]),Tabla20[#All],7,FALSE)</f>
        <v>1020.814</v>
      </c>
      <c r="N21" s="16">
        <f>YEAR(Tabla10[[#This Row],[Fecha final]])</f>
        <v>2021</v>
      </c>
    </row>
    <row r="22" spans="1:14">
      <c r="A22" s="17">
        <v>44469</v>
      </c>
      <c r="B22" s="17">
        <v>44500</v>
      </c>
      <c r="C22" s="16">
        <v>31</v>
      </c>
      <c r="D22" s="16" t="s">
        <v>42</v>
      </c>
      <c r="E22" s="16">
        <v>702</v>
      </c>
      <c r="F22" s="16">
        <v>501</v>
      </c>
      <c r="G22" s="16">
        <v>1009</v>
      </c>
      <c r="H22" s="16">
        <f>Tabla10[[#This Row],[P1 + P4]]*VLOOKUP(MONTH(Tabla10[[#This Row],[Fecha final]]),Tabla20[#All],2,FALSE)</f>
        <v>0</v>
      </c>
      <c r="I22" s="16">
        <f>Tabla10[[#This Row],[P2 + P5]]*VLOOKUP(MONTH(Tabla10[[#This Row],[Fecha final]]),Tabla20[#All],3,FALSE)</f>
        <v>0</v>
      </c>
      <c r="J22" s="16">
        <f>(Tabla10[[#This Row],[P3 + P6]])*VLOOKUP(MONTH(Tabla10[[#This Row],[Fecha final]]),Tabla20[#All],4,FALSE)</f>
        <v>0</v>
      </c>
      <c r="K22" s="16">
        <f>Tabla10[[#This Row],[P1 + P4]]*VLOOKUP(MONTH(Tabla10[[#This Row],[Fecha final]]),Tabla20[#All],5,FALSE)</f>
        <v>702</v>
      </c>
      <c r="L22" s="16">
        <f>Tabla10[[#This Row],[P2 + P5]]*VLOOKUP(MONTH(Tabla10[[#This Row],[Fecha final]]),Tabla20[#All],6,FALSE)</f>
        <v>501</v>
      </c>
      <c r="M22" s="16">
        <f>Tabla10[[#This Row],[P3 + P6]]*VLOOKUP(MONTH(Tabla10[[#This Row],[Fecha final]]),Tabla20[#All],7,FALSE)</f>
        <v>1009</v>
      </c>
      <c r="N22" s="16">
        <f>YEAR(Tabla10[[#This Row],[Fecha final]])</f>
        <v>2021</v>
      </c>
    </row>
    <row r="23" spans="1:14">
      <c r="A23" s="17">
        <v>44500</v>
      </c>
      <c r="B23" s="17">
        <v>44530</v>
      </c>
      <c r="C23" s="16">
        <v>30</v>
      </c>
      <c r="D23" s="16" t="s">
        <v>42</v>
      </c>
      <c r="E23" s="16">
        <v>0</v>
      </c>
      <c r="F23" s="16">
        <v>1666</v>
      </c>
      <c r="G23" s="16">
        <v>2345</v>
      </c>
      <c r="H23" s="16">
        <f>Tabla10[[#This Row],[P1 + P4]]*VLOOKUP(MONTH(Tabla10[[#This Row],[Fecha final]]),Tabla20[#All],2,FALSE)</f>
        <v>0</v>
      </c>
      <c r="I23" s="16">
        <f>Tabla10[[#This Row],[P2 + P5]]*VLOOKUP(MONTH(Tabla10[[#This Row],[Fecha final]]),Tabla20[#All],3,FALSE)</f>
        <v>1666</v>
      </c>
      <c r="J23" s="16">
        <f>(Tabla10[[#This Row],[P3 + P6]])*VLOOKUP(MONTH(Tabla10[[#This Row],[Fecha final]]),Tabla20[#All],4,FALSE)</f>
        <v>649.096</v>
      </c>
      <c r="K23" s="16">
        <f>Tabla10[[#This Row],[P1 + P4]]*VLOOKUP(MONTH(Tabla10[[#This Row],[Fecha final]]),Tabla20[#All],5,FALSE)</f>
        <v>0</v>
      </c>
      <c r="L23" s="16">
        <f>Tabla10[[#This Row],[P2 + P5]]*VLOOKUP(MONTH(Tabla10[[#This Row],[Fecha final]]),Tabla20[#All],6,FALSE)</f>
        <v>0</v>
      </c>
      <c r="M23" s="16">
        <f>Tabla10[[#This Row],[P3 + P6]]*VLOOKUP(MONTH(Tabla10[[#This Row],[Fecha final]]),Tabla20[#All],7,FALSE)</f>
        <v>1695.904</v>
      </c>
      <c r="N23" s="16">
        <f>YEAR(Tabla10[[#This Row],[Fecha final]])</f>
        <v>2021</v>
      </c>
    </row>
    <row r="24" spans="1:14">
      <c r="A24" s="17">
        <v>44530</v>
      </c>
      <c r="B24" s="17">
        <v>44532</v>
      </c>
      <c r="C24" s="16">
        <v>2</v>
      </c>
      <c r="D24" s="16" t="s">
        <v>42</v>
      </c>
      <c r="E24" s="16">
        <v>213</v>
      </c>
      <c r="F24" s="16">
        <v>135</v>
      </c>
      <c r="G24" s="16">
        <v>82</v>
      </c>
      <c r="H24" s="16">
        <f>Tabla10[[#This Row],[P1 + P4]]*VLOOKUP(MONTH(Tabla10[[#This Row],[Fecha final]]),Tabla20[#All],2,FALSE)</f>
        <v>213</v>
      </c>
      <c r="I24" s="16">
        <f>Tabla10[[#This Row],[P2 + P5]]*VLOOKUP(MONTH(Tabla10[[#This Row],[Fecha final]]),Tabla20[#All],3,FALSE)</f>
        <v>135</v>
      </c>
      <c r="J24" s="16">
        <f>(Tabla10[[#This Row],[P3 + P6]])*VLOOKUP(MONTH(Tabla10[[#This Row],[Fecha final]]),Tabla20[#All],4,FALSE)</f>
        <v>0</v>
      </c>
      <c r="K24" s="16">
        <f>Tabla10[[#This Row],[P1 + P4]]*VLOOKUP(MONTH(Tabla10[[#This Row],[Fecha final]]),Tabla20[#All],5,FALSE)</f>
        <v>0</v>
      </c>
      <c r="L24" s="16">
        <f>Tabla10[[#This Row],[P2 + P5]]*VLOOKUP(MONTH(Tabla10[[#This Row],[Fecha final]]),Tabla20[#All],6,FALSE)</f>
        <v>0</v>
      </c>
      <c r="M24" s="16">
        <f>Tabla10[[#This Row],[P3 + P6]]*VLOOKUP(MONTH(Tabla10[[#This Row],[Fecha final]]),Tabla20[#All],7,FALSE)</f>
        <v>82</v>
      </c>
      <c r="N24" s="16">
        <f>YEAR(Tabla10[[#This Row],[Fecha final]])</f>
        <v>2021</v>
      </c>
    </row>
    <row r="25" spans="1:14">
      <c r="A25" s="17">
        <v>44532</v>
      </c>
      <c r="B25" s="17">
        <v>44561</v>
      </c>
      <c r="C25" s="16">
        <v>29</v>
      </c>
      <c r="D25" s="16" t="s">
        <v>42</v>
      </c>
      <c r="E25" s="16">
        <v>1766</v>
      </c>
      <c r="F25" s="16">
        <v>1234</v>
      </c>
      <c r="G25" s="16">
        <v>1447</v>
      </c>
      <c r="H25" s="16">
        <f>Tabla10[[#This Row],[P1 + P4]]*VLOOKUP(MONTH(Tabla10[[#This Row],[Fecha final]]),Tabla20[#All],2,FALSE)</f>
        <v>1766</v>
      </c>
      <c r="I25" s="16">
        <f>Tabla10[[#This Row],[P2 + P5]]*VLOOKUP(MONTH(Tabla10[[#This Row],[Fecha final]]),Tabla20[#All],3,FALSE)</f>
        <v>1234</v>
      </c>
      <c r="J25" s="16">
        <f>(Tabla10[[#This Row],[P3 + P6]])*VLOOKUP(MONTH(Tabla10[[#This Row],[Fecha final]]),Tabla20[#All],4,FALSE)</f>
        <v>0</v>
      </c>
      <c r="K25" s="16">
        <f>Tabla10[[#This Row],[P1 + P4]]*VLOOKUP(MONTH(Tabla10[[#This Row],[Fecha final]]),Tabla20[#All],5,FALSE)</f>
        <v>0</v>
      </c>
      <c r="L25" s="16">
        <f>Tabla10[[#This Row],[P2 + P5]]*VLOOKUP(MONTH(Tabla10[[#This Row],[Fecha final]]),Tabla20[#All],6,FALSE)</f>
        <v>0</v>
      </c>
      <c r="M25" s="16">
        <f>Tabla10[[#This Row],[P3 + P6]]*VLOOKUP(MONTH(Tabla10[[#This Row],[Fecha final]]),Tabla20[#All],7,FALSE)</f>
        <v>1447</v>
      </c>
      <c r="N25" s="16">
        <f>YEAR(Tabla10[[#This Row],[Fecha final]])</f>
        <v>2021</v>
      </c>
    </row>
    <row r="26" spans="1:14">
      <c r="A26" s="17">
        <v>44561</v>
      </c>
      <c r="B26" s="17">
        <v>44592</v>
      </c>
      <c r="C26" s="16">
        <v>31</v>
      </c>
      <c r="D26" s="16" t="s">
        <v>42</v>
      </c>
      <c r="E26" s="16">
        <v>2254</v>
      </c>
      <c r="F26" s="16">
        <v>1396</v>
      </c>
      <c r="G26" s="16">
        <v>1335</v>
      </c>
      <c r="H26" s="16">
        <f>Tabla10[[#This Row],[P1 + P4]]*VLOOKUP(MONTH(Tabla10[[#This Row],[Fecha final]]),Tabla20[#All],2,FALSE)</f>
        <v>2254</v>
      </c>
      <c r="I26" s="16">
        <f>Tabla10[[#This Row],[P2 + P5]]*VLOOKUP(MONTH(Tabla10[[#This Row],[Fecha final]]),Tabla20[#All],3,FALSE)</f>
        <v>1396</v>
      </c>
      <c r="J26" s="16">
        <f>(Tabla10[[#This Row],[P3 + P6]])*VLOOKUP(MONTH(Tabla10[[#This Row],[Fecha final]]),Tabla20[#All],4,FALSE)</f>
        <v>0</v>
      </c>
      <c r="K26" s="16">
        <f>Tabla10[[#This Row],[P1 + P4]]*VLOOKUP(MONTH(Tabla10[[#This Row],[Fecha final]]),Tabla20[#All],5,FALSE)</f>
        <v>0</v>
      </c>
      <c r="L26" s="16">
        <f>Tabla10[[#This Row],[P2 + P5]]*VLOOKUP(MONTH(Tabla10[[#This Row],[Fecha final]]),Tabla20[#All],6,FALSE)</f>
        <v>0</v>
      </c>
      <c r="M26" s="16">
        <f>Tabla10[[#This Row],[P3 + P6]]*VLOOKUP(MONTH(Tabla10[[#This Row],[Fecha final]]),Tabla20[#All],7,FALSE)</f>
        <v>1335</v>
      </c>
      <c r="N26" s="16">
        <f>YEAR(Tabla10[[#This Row],[Fecha final]])</f>
        <v>2022</v>
      </c>
    </row>
    <row r="27" spans="1:14">
      <c r="A27" s="17">
        <v>44592</v>
      </c>
      <c r="B27" s="17">
        <v>44620</v>
      </c>
      <c r="C27" s="16">
        <v>28</v>
      </c>
      <c r="D27" s="16" t="s">
        <v>42</v>
      </c>
      <c r="E27" s="16">
        <v>2002</v>
      </c>
      <c r="F27" s="16">
        <v>1256</v>
      </c>
      <c r="G27" s="16">
        <v>1129</v>
      </c>
      <c r="H27" s="16">
        <f>Tabla10[[#This Row],[P1 + P4]]*VLOOKUP(MONTH(Tabla10[[#This Row],[Fecha final]]),Tabla20[#All],2,FALSE)</f>
        <v>2002</v>
      </c>
      <c r="I27" s="16">
        <f>Tabla10[[#This Row],[P2 + P5]]*VLOOKUP(MONTH(Tabla10[[#This Row],[Fecha final]]),Tabla20[#All],3,FALSE)</f>
        <v>1256</v>
      </c>
      <c r="J27" s="16">
        <f>(Tabla10[[#This Row],[P3 + P6]])*VLOOKUP(MONTH(Tabla10[[#This Row],[Fecha final]]),Tabla20[#All],4,FALSE)</f>
        <v>0</v>
      </c>
      <c r="K27" s="16">
        <f>Tabla10[[#This Row],[P1 + P4]]*VLOOKUP(MONTH(Tabla10[[#This Row],[Fecha final]]),Tabla20[#All],5,FALSE)</f>
        <v>0</v>
      </c>
      <c r="L27" s="16">
        <f>Tabla10[[#This Row],[P2 + P5]]*VLOOKUP(MONTH(Tabla10[[#This Row],[Fecha final]]),Tabla20[#All],6,FALSE)</f>
        <v>0</v>
      </c>
      <c r="M27" s="16">
        <f>Tabla10[[#This Row],[P3 + P6]]*VLOOKUP(MONTH(Tabla10[[#This Row],[Fecha final]]),Tabla20[#All],7,FALSE)</f>
        <v>1129</v>
      </c>
      <c r="N27" s="16">
        <f>YEAR(Tabla10[[#This Row],[Fecha final]])</f>
        <v>2022</v>
      </c>
    </row>
    <row r="28" spans="1:14">
      <c r="A28" s="17">
        <v>44620</v>
      </c>
      <c r="B28" s="17">
        <v>44651</v>
      </c>
      <c r="C28" s="16">
        <v>31</v>
      </c>
      <c r="D28" s="16" t="s">
        <v>42</v>
      </c>
      <c r="E28" s="16">
        <v>0</v>
      </c>
      <c r="F28" s="16">
        <v>1846</v>
      </c>
      <c r="G28" s="16">
        <v>2497</v>
      </c>
      <c r="H28" s="16">
        <f>Tabla10[[#This Row],[P1 + P4]]*VLOOKUP(MONTH(Tabla10[[#This Row],[Fecha final]]),Tabla20[#All],2,FALSE)</f>
        <v>0</v>
      </c>
      <c r="I28" s="16">
        <f>Tabla10[[#This Row],[P2 + P5]]*VLOOKUP(MONTH(Tabla10[[#This Row],[Fecha final]]),Tabla20[#All],3,FALSE)</f>
        <v>1846</v>
      </c>
      <c r="J28" s="16">
        <f>(Tabla10[[#This Row],[P3 + P6]])*VLOOKUP(MONTH(Tabla10[[#This Row],[Fecha final]]),Tabla20[#All],4,FALSE)</f>
        <v>748.60059999999999</v>
      </c>
      <c r="K28" s="16">
        <f>Tabla10[[#This Row],[P1 + P4]]*VLOOKUP(MONTH(Tabla10[[#This Row],[Fecha final]]),Tabla20[#All],5,FALSE)</f>
        <v>0</v>
      </c>
      <c r="L28" s="16">
        <f>Tabla10[[#This Row],[P2 + P5]]*VLOOKUP(MONTH(Tabla10[[#This Row],[Fecha final]]),Tabla20[#All],6,FALSE)</f>
        <v>0</v>
      </c>
      <c r="M28" s="16">
        <f>Tabla10[[#This Row],[P3 + P6]]*VLOOKUP(MONTH(Tabla10[[#This Row],[Fecha final]]),Tabla20[#All],7,FALSE)</f>
        <v>1748.3994</v>
      </c>
      <c r="N28" s="16">
        <f>YEAR(Tabla10[[#This Row],[Fecha final]])</f>
        <v>2022</v>
      </c>
    </row>
    <row r="29" spans="1:14">
      <c r="A29" s="17">
        <v>44651</v>
      </c>
      <c r="B29" s="17">
        <v>44681</v>
      </c>
      <c r="C29" s="16">
        <v>30</v>
      </c>
      <c r="D29" s="16" t="s">
        <v>42</v>
      </c>
      <c r="E29" s="16">
        <v>1106</v>
      </c>
      <c r="F29" s="16">
        <v>803</v>
      </c>
      <c r="G29" s="16">
        <v>1126</v>
      </c>
      <c r="H29" s="16">
        <f>Tabla10[[#This Row],[P1 + P4]]*VLOOKUP(MONTH(Tabla10[[#This Row],[Fecha final]]),Tabla20[#All],2,FALSE)</f>
        <v>0</v>
      </c>
      <c r="I29" s="16">
        <f>Tabla10[[#This Row],[P2 + P5]]*VLOOKUP(MONTH(Tabla10[[#This Row],[Fecha final]]),Tabla20[#All],3,FALSE)</f>
        <v>0</v>
      </c>
      <c r="J29" s="16">
        <f>(Tabla10[[#This Row],[P3 + P6]])*VLOOKUP(MONTH(Tabla10[[#This Row],[Fecha final]]),Tabla20[#All],4,FALSE)</f>
        <v>0</v>
      </c>
      <c r="K29" s="16">
        <f>Tabla10[[#This Row],[P1 + P4]]*VLOOKUP(MONTH(Tabla10[[#This Row],[Fecha final]]),Tabla20[#All],5,FALSE)</f>
        <v>1106</v>
      </c>
      <c r="L29" s="16">
        <f>Tabla10[[#This Row],[P2 + P5]]*VLOOKUP(MONTH(Tabla10[[#This Row],[Fecha final]]),Tabla20[#All],6,FALSE)</f>
        <v>803</v>
      </c>
      <c r="M29" s="16">
        <f>Tabla10[[#This Row],[P3 + P6]]*VLOOKUP(MONTH(Tabla10[[#This Row],[Fecha final]]),Tabla20[#All],7,FALSE)</f>
        <v>1126</v>
      </c>
      <c r="N29" s="16">
        <f>YEAR(Tabla10[[#This Row],[Fecha final]])</f>
        <v>2022</v>
      </c>
    </row>
    <row r="30" spans="1:14">
      <c r="A30" s="17">
        <v>44681</v>
      </c>
      <c r="B30" s="17">
        <v>44712</v>
      </c>
      <c r="C30" s="16">
        <v>31</v>
      </c>
      <c r="D30" s="16" t="s">
        <v>42</v>
      </c>
      <c r="E30" s="16">
        <v>738</v>
      </c>
      <c r="F30" s="16">
        <v>501</v>
      </c>
      <c r="G30" s="16">
        <v>965</v>
      </c>
      <c r="H30" s="16">
        <f>Tabla10[[#This Row],[P1 + P4]]*VLOOKUP(MONTH(Tabla10[[#This Row],[Fecha final]]),Tabla20[#All],2,FALSE)</f>
        <v>0</v>
      </c>
      <c r="I30" s="16">
        <f>Tabla10[[#This Row],[P2 + P5]]*VLOOKUP(MONTH(Tabla10[[#This Row],[Fecha final]]),Tabla20[#All],3,FALSE)</f>
        <v>0</v>
      </c>
      <c r="J30" s="16">
        <f>(Tabla10[[#This Row],[P3 + P6]])*VLOOKUP(MONTH(Tabla10[[#This Row],[Fecha final]]),Tabla20[#All],4,FALSE)</f>
        <v>0</v>
      </c>
      <c r="K30" s="16">
        <f>Tabla10[[#This Row],[P1 + P4]]*VLOOKUP(MONTH(Tabla10[[#This Row],[Fecha final]]),Tabla20[#All],5,FALSE)</f>
        <v>738</v>
      </c>
      <c r="L30" s="16">
        <f>Tabla10[[#This Row],[P2 + P5]]*VLOOKUP(MONTH(Tabla10[[#This Row],[Fecha final]]),Tabla20[#All],6,FALSE)</f>
        <v>501</v>
      </c>
      <c r="M30" s="16">
        <f>Tabla10[[#This Row],[P3 + P6]]*VLOOKUP(MONTH(Tabla10[[#This Row],[Fecha final]]),Tabla20[#All],7,FALSE)</f>
        <v>965</v>
      </c>
      <c r="N30" s="16">
        <f>YEAR(Tabla10[[#This Row],[Fecha final]])</f>
        <v>2022</v>
      </c>
    </row>
    <row r="31" spans="1:14">
      <c r="A31" s="17">
        <v>44712</v>
      </c>
      <c r="B31" s="17">
        <v>44742</v>
      </c>
      <c r="C31" s="16">
        <v>30</v>
      </c>
      <c r="D31" s="16" t="s">
        <v>42</v>
      </c>
      <c r="E31" s="16">
        <v>529</v>
      </c>
      <c r="F31" s="16">
        <v>0</v>
      </c>
      <c r="G31" s="16">
        <v>1601</v>
      </c>
      <c r="H31" s="16">
        <f>Tabla10[[#This Row],[P1 + P4]]*VLOOKUP(MONTH(Tabla10[[#This Row],[Fecha final]]),Tabla20[#All],2,FALSE)</f>
        <v>0</v>
      </c>
      <c r="I31" s="16">
        <f>Tabla10[[#This Row],[P2 + P5]]*VLOOKUP(MONTH(Tabla10[[#This Row],[Fecha final]]),Tabla20[#All],3,FALSE)</f>
        <v>0</v>
      </c>
      <c r="J31" s="16">
        <f>(Tabla10[[#This Row],[P3 + P6]])*VLOOKUP(MONTH(Tabla10[[#This Row],[Fecha final]]),Tabla20[#All],4,FALSE)</f>
        <v>560.02980000000002</v>
      </c>
      <c r="K31" s="16">
        <f>Tabla10[[#This Row],[P1 + P4]]*VLOOKUP(MONTH(Tabla10[[#This Row],[Fecha final]]),Tabla20[#All],5,FALSE)</f>
        <v>529</v>
      </c>
      <c r="L31" s="16">
        <f>Tabla10[[#This Row],[P2 + P5]]*VLOOKUP(MONTH(Tabla10[[#This Row],[Fecha final]]),Tabla20[#All],6,FALSE)</f>
        <v>0</v>
      </c>
      <c r="M31" s="16">
        <f>Tabla10[[#This Row],[P3 + P6]]*VLOOKUP(MONTH(Tabla10[[#This Row],[Fecha final]]),Tabla20[#All],7,FALSE)</f>
        <v>1040.9702</v>
      </c>
      <c r="N31" s="16">
        <f>YEAR(Tabla10[[#This Row],[Fecha final]])</f>
        <v>2022</v>
      </c>
    </row>
    <row r="32" spans="1:14">
      <c r="A32" s="17">
        <v>44742</v>
      </c>
      <c r="B32" s="17">
        <v>44763</v>
      </c>
      <c r="C32" s="16">
        <v>21</v>
      </c>
      <c r="D32" s="16" t="s">
        <v>42</v>
      </c>
      <c r="E32" s="16">
        <v>578</v>
      </c>
      <c r="F32" s="16">
        <v>412</v>
      </c>
      <c r="G32" s="16">
        <v>662</v>
      </c>
      <c r="H32" s="16">
        <f>Tabla10[[#This Row],[P1 + P4]]*VLOOKUP(MONTH(Tabla10[[#This Row],[Fecha final]]),Tabla20[#All],2,FALSE)</f>
        <v>578</v>
      </c>
      <c r="I32" s="16">
        <f>Tabla10[[#This Row],[P2 + P5]]*VLOOKUP(MONTH(Tabla10[[#This Row],[Fecha final]]),Tabla20[#All],3,FALSE)</f>
        <v>412</v>
      </c>
      <c r="J32" s="16">
        <f>(Tabla10[[#This Row],[P3 + P6]])*VLOOKUP(MONTH(Tabla10[[#This Row],[Fecha final]]),Tabla20[#All],4,FALSE)</f>
        <v>0</v>
      </c>
      <c r="K32" s="16">
        <f>Tabla10[[#This Row],[P1 + P4]]*VLOOKUP(MONTH(Tabla10[[#This Row],[Fecha final]]),Tabla20[#All],5,FALSE)</f>
        <v>0</v>
      </c>
      <c r="L32" s="16">
        <f>Tabla10[[#This Row],[P2 + P5]]*VLOOKUP(MONTH(Tabla10[[#This Row],[Fecha final]]),Tabla20[#All],6,FALSE)</f>
        <v>0</v>
      </c>
      <c r="M32" s="16">
        <f>Tabla10[[#This Row],[P3 + P6]]*VLOOKUP(MONTH(Tabla10[[#This Row],[Fecha final]]),Tabla20[#All],7,FALSE)</f>
        <v>662</v>
      </c>
      <c r="N32" s="16">
        <f>YEAR(Tabla10[[#This Row],[Fecha final]])</f>
        <v>2022</v>
      </c>
    </row>
    <row r="33" spans="1:14">
      <c r="A33" s="17">
        <v>44763</v>
      </c>
      <c r="B33" s="17">
        <v>44773</v>
      </c>
      <c r="C33" s="16">
        <v>10</v>
      </c>
      <c r="D33" s="16" t="s">
        <v>42</v>
      </c>
      <c r="E33" s="16">
        <v>242</v>
      </c>
      <c r="F33" s="16">
        <v>167</v>
      </c>
      <c r="G33" s="16">
        <v>332</v>
      </c>
      <c r="H33" s="16">
        <f>Tabla10[[#This Row],[P1 + P4]]*VLOOKUP(MONTH(Tabla10[[#This Row],[Fecha final]]),Tabla20[#All],2,FALSE)</f>
        <v>242</v>
      </c>
      <c r="I33" s="16">
        <f>Tabla10[[#This Row],[P2 + P5]]*VLOOKUP(MONTH(Tabla10[[#This Row],[Fecha final]]),Tabla20[#All],3,FALSE)</f>
        <v>167</v>
      </c>
      <c r="J33" s="16">
        <f>(Tabla10[[#This Row],[P3 + P6]])*VLOOKUP(MONTH(Tabla10[[#This Row],[Fecha final]]),Tabla20[#All],4,FALSE)</f>
        <v>0</v>
      </c>
      <c r="K33" s="16">
        <f>Tabla10[[#This Row],[P1 + P4]]*VLOOKUP(MONTH(Tabla10[[#This Row],[Fecha final]]),Tabla20[#All],5,FALSE)</f>
        <v>0</v>
      </c>
      <c r="L33" s="16">
        <f>Tabla10[[#This Row],[P2 + P5]]*VLOOKUP(MONTH(Tabla10[[#This Row],[Fecha final]]),Tabla20[#All],6,FALSE)</f>
        <v>0</v>
      </c>
      <c r="M33" s="16">
        <f>Tabla10[[#This Row],[P3 + P6]]*VLOOKUP(MONTH(Tabla10[[#This Row],[Fecha final]]),Tabla20[#All],7,FALSE)</f>
        <v>332</v>
      </c>
      <c r="N33" s="16">
        <f>YEAR(Tabla10[[#This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512</v>
      </c>
      <c r="F34" s="16">
        <v>0</v>
      </c>
      <c r="G34" s="16">
        <v>1593</v>
      </c>
      <c r="H34" s="16">
        <f>Tabla10[[#This Row],[P1 + P4]]*VLOOKUP(MONTH(Tabla10[[#This Row],[Fecha final]]),Tabla20[#All],2,FALSE)</f>
        <v>0</v>
      </c>
      <c r="I34" s="16">
        <f>Tabla10[[#This Row],[P2 + P5]]*VLOOKUP(MONTH(Tabla10[[#This Row],[Fecha final]]),Tabla20[#All],3,FALSE)</f>
        <v>0</v>
      </c>
      <c r="J34" s="16">
        <f>(Tabla10[[#This Row],[P3 + P6]])*VLOOKUP(MONTH(Tabla10[[#This Row],[Fecha final]]),Tabla20[#All],4,FALSE)</f>
        <v>534.61080000000004</v>
      </c>
      <c r="K34" s="16">
        <f>Tabla10[[#This Row],[P1 + P4]]*VLOOKUP(MONTH(Tabla10[[#This Row],[Fecha final]]),Tabla20[#All],5,FALSE)</f>
        <v>512</v>
      </c>
      <c r="L34" s="16">
        <f>Tabla10[[#This Row],[P2 + P5]]*VLOOKUP(MONTH(Tabla10[[#This Row],[Fecha final]]),Tabla20[#All],6,FALSE)</f>
        <v>0</v>
      </c>
      <c r="M34" s="16">
        <f>Tabla10[[#This Row],[P3 + P6]]*VLOOKUP(MONTH(Tabla10[[#This Row],[Fecha final]]),Tabla20[#All],7,FALSE)</f>
        <v>1058.3892000000001</v>
      </c>
      <c r="N34" s="16">
        <f>YEAR(Tabla10[[#This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484</v>
      </c>
      <c r="F35" s="16">
        <v>0</v>
      </c>
      <c r="G35" s="16">
        <v>1473</v>
      </c>
      <c r="H35" s="16">
        <f>Tabla10[[#This Row],[P1 + P4]]*VLOOKUP(MONTH(Tabla10[[#This Row],[Fecha final]]),Tabla20[#All],2,FALSE)</f>
        <v>0</v>
      </c>
      <c r="I35" s="16">
        <f>Tabla10[[#This Row],[P2 + P5]]*VLOOKUP(MONTH(Tabla10[[#This Row],[Fecha final]]),Tabla20[#All],3,FALSE)</f>
        <v>0</v>
      </c>
      <c r="J35" s="16">
        <f>(Tabla10[[#This Row],[P3 + P6]])*VLOOKUP(MONTH(Tabla10[[#This Row],[Fecha final]]),Tabla20[#All],4,FALSE)</f>
        <v>515.25540000000001</v>
      </c>
      <c r="K35" s="16">
        <f>Tabla10[[#This Row],[P1 + P4]]*VLOOKUP(MONTH(Tabla10[[#This Row],[Fecha final]]),Tabla20[#All],5,FALSE)</f>
        <v>484</v>
      </c>
      <c r="L35" s="16">
        <f>Tabla10[[#This Row],[P2 + P5]]*VLOOKUP(MONTH(Tabla10[[#This Row],[Fecha final]]),Tabla20[#All],6,FALSE)</f>
        <v>0</v>
      </c>
      <c r="M35" s="16">
        <f>Tabla10[[#This Row],[P3 + P6]]*VLOOKUP(MONTH(Tabla10[[#This Row],[Fecha final]]),Tabla20[#All],7,FALSE)</f>
        <v>957.74459999999999</v>
      </c>
      <c r="N35" s="16">
        <f>YEAR(Tabla10[[#This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599</v>
      </c>
      <c r="F36" s="16">
        <v>426</v>
      </c>
      <c r="G36" s="16">
        <v>952</v>
      </c>
      <c r="H36" s="16">
        <f>Tabla10[[#This Row],[P1 + P4]]*VLOOKUP(MONTH(Tabla10[[#This Row],[Fecha final]]),Tabla20[#All],2,FALSE)</f>
        <v>0</v>
      </c>
      <c r="I36" s="16">
        <f>Tabla10[[#This Row],[P2 + P5]]*VLOOKUP(MONTH(Tabla10[[#This Row],[Fecha final]]),Tabla20[#All],3,FALSE)</f>
        <v>0</v>
      </c>
      <c r="J36" s="16">
        <f>(Tabla10[[#This Row],[P3 + P6]])*VLOOKUP(MONTH(Tabla10[[#This Row],[Fecha final]]),Tabla20[#All],4,FALSE)</f>
        <v>0</v>
      </c>
      <c r="K36" s="16">
        <f>Tabla10[[#This Row],[P1 + P4]]*VLOOKUP(MONTH(Tabla10[[#This Row],[Fecha final]]),Tabla20[#All],5,FALSE)</f>
        <v>599</v>
      </c>
      <c r="L36" s="16">
        <f>Tabla10[[#This Row],[P2 + P5]]*VLOOKUP(MONTH(Tabla10[[#This Row],[Fecha final]]),Tabla20[#All],6,FALSE)</f>
        <v>426</v>
      </c>
      <c r="M36" s="16">
        <f>Tabla10[[#This Row],[P3 + P6]]*VLOOKUP(MONTH(Tabla10[[#This Row],[Fecha final]]),Tabla20[#All],7,FALSE)</f>
        <v>952</v>
      </c>
      <c r="N36" s="16">
        <f>YEAR(Tabla10[[#This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966</v>
      </c>
      <c r="G37" s="16">
        <v>1623</v>
      </c>
      <c r="H37" s="16">
        <f>Tabla10[[#This Row],[P1 + P4]]*VLOOKUP(MONTH(Tabla10[[#This Row],[Fecha final]]),Tabla20[#All],2,FALSE)</f>
        <v>0</v>
      </c>
      <c r="I37" s="16">
        <f>Tabla10[[#This Row],[P2 + P5]]*VLOOKUP(MONTH(Tabla10[[#This Row],[Fecha final]]),Tabla20[#All],3,FALSE)</f>
        <v>966</v>
      </c>
      <c r="J37" s="16">
        <f>(Tabla10[[#This Row],[P3 + P6]])*VLOOKUP(MONTH(Tabla10[[#This Row],[Fecha final]]),Tabla20[#All],4,FALSE)</f>
        <v>449.24639999999999</v>
      </c>
      <c r="K37" s="16">
        <f>Tabla10[[#This Row],[P1 + P4]]*VLOOKUP(MONTH(Tabla10[[#This Row],[Fecha final]]),Tabla20[#All],5,FALSE)</f>
        <v>0</v>
      </c>
      <c r="L37" s="16">
        <f>Tabla10[[#This Row],[P2 + P5]]*VLOOKUP(MONTH(Tabla10[[#This Row],[Fecha final]]),Tabla20[#All],6,FALSE)</f>
        <v>0</v>
      </c>
      <c r="M37" s="16">
        <f>Tabla10[[#This Row],[P3 + P6]]*VLOOKUP(MONTH(Tabla10[[#This Row],[Fecha final]]),Tabla20[#All],7,FALSE)</f>
        <v>1173.7536</v>
      </c>
      <c r="N37" s="16">
        <f>YEAR(Tabla10[[#This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1888</v>
      </c>
      <c r="F38" s="16">
        <v>1286</v>
      </c>
      <c r="G38" s="16">
        <v>1528</v>
      </c>
      <c r="H38" s="16">
        <f>Tabla10[[#This Row],[P1 + P4]]*VLOOKUP(MONTH(Tabla10[[#This Row],[Fecha final]]),Tabla20[#All],2,FALSE)</f>
        <v>1888</v>
      </c>
      <c r="I38" s="16">
        <f>Tabla10[[#This Row],[P2 + P5]]*VLOOKUP(MONTH(Tabla10[[#This Row],[Fecha final]]),Tabla20[#All],3,FALSE)</f>
        <v>1286</v>
      </c>
      <c r="J38" s="16">
        <f>(Tabla10[[#This Row],[P3 + P6]])*VLOOKUP(MONTH(Tabla10[[#This Row],[Fecha final]]),Tabla20[#All],4,FALSE)</f>
        <v>0</v>
      </c>
      <c r="K38" s="16">
        <f>Tabla10[[#This Row],[P1 + P4]]*VLOOKUP(MONTH(Tabla10[[#This Row],[Fecha final]]),Tabla20[#All],5,FALSE)</f>
        <v>0</v>
      </c>
      <c r="L38" s="16">
        <f>Tabla10[[#This Row],[P2 + P5]]*VLOOKUP(MONTH(Tabla10[[#This Row],[Fecha final]]),Tabla20[#All],6,FALSE)</f>
        <v>0</v>
      </c>
      <c r="M38" s="16">
        <f>Tabla10[[#This Row],[P3 + P6]]*VLOOKUP(MONTH(Tabla10[[#This Row],[Fecha final]]),Tabla20[#All],7,FALSE)</f>
        <v>1528</v>
      </c>
      <c r="N38" s="16">
        <f>YEAR(Tabla10[[#This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2638</v>
      </c>
      <c r="F39" s="16">
        <v>1781</v>
      </c>
      <c r="G39" s="16">
        <v>1544</v>
      </c>
      <c r="H39" s="16">
        <f>Tabla10[[#This Row],[P1 + P4]]*VLOOKUP(MONTH(Tabla10[[#This Row],[Fecha final]]),Tabla20[#All],2,FALSE)</f>
        <v>2638</v>
      </c>
      <c r="I39" s="16">
        <f>Tabla10[[#This Row],[P2 + P5]]*VLOOKUP(MONTH(Tabla10[[#This Row],[Fecha final]]),Tabla20[#All],3,FALSE)</f>
        <v>1781</v>
      </c>
      <c r="J39" s="16">
        <f>(Tabla10[[#This Row],[P3 + P6]])*VLOOKUP(MONTH(Tabla10[[#This Row],[Fecha final]]),Tabla20[#All],4,FALSE)</f>
        <v>0</v>
      </c>
      <c r="K39" s="16">
        <f>Tabla10[[#This Row],[P1 + P4]]*VLOOKUP(MONTH(Tabla10[[#This Row],[Fecha final]]),Tabla20[#All],5,FALSE)</f>
        <v>0</v>
      </c>
      <c r="L39" s="16">
        <f>Tabla10[[#This Row],[P2 + P5]]*VLOOKUP(MONTH(Tabla10[[#This Row],[Fecha final]]),Tabla20[#All],6,FALSE)</f>
        <v>0</v>
      </c>
      <c r="M39" s="16">
        <f>Tabla10[[#This Row],[P3 + P6]]*VLOOKUP(MONTH(Tabla10[[#This Row],[Fecha final]]),Tabla20[#All],7,FALSE)</f>
        <v>1544</v>
      </c>
      <c r="N39" s="16">
        <f>YEAR(Tabla10[[#This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2492</v>
      </c>
      <c r="F40" s="16">
        <v>1691</v>
      </c>
      <c r="G40" s="16">
        <v>1391</v>
      </c>
      <c r="H40" s="16">
        <f>Tabla10[[#This Row],[P1 + P4]]*VLOOKUP(MONTH(Tabla10[[#This Row],[Fecha final]]),Tabla20[#All],2,FALSE)</f>
        <v>2492</v>
      </c>
      <c r="I40" s="16">
        <f>Tabla10[[#This Row],[P2 + P5]]*VLOOKUP(MONTH(Tabla10[[#This Row],[Fecha final]]),Tabla20[#All],3,FALSE)</f>
        <v>1691</v>
      </c>
      <c r="J40" s="16">
        <f>(Tabla10[[#This Row],[P3 + P6]])*VLOOKUP(MONTH(Tabla10[[#This Row],[Fecha final]]),Tabla20[#All],4,FALSE)</f>
        <v>0</v>
      </c>
      <c r="K40" s="16">
        <f>Tabla10[[#This Row],[P1 + P4]]*VLOOKUP(MONTH(Tabla10[[#This Row],[Fecha final]]),Tabla20[#All],5,FALSE)</f>
        <v>0</v>
      </c>
      <c r="L40" s="16">
        <f>Tabla10[[#This Row],[P2 + P5]]*VLOOKUP(MONTH(Tabla10[[#This Row],[Fecha final]]),Tabla20[#All],6,FALSE)</f>
        <v>0</v>
      </c>
      <c r="M40" s="16">
        <f>Tabla10[[#This Row],[P3 + P6]]*VLOOKUP(MONTH(Tabla10[[#This Row],[Fecha final]]),Tabla20[#All],7,FALSE)</f>
        <v>1391</v>
      </c>
      <c r="N40" s="16">
        <f>YEAR(Tabla10[[#This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1870</v>
      </c>
      <c r="G41" s="16">
        <v>2529</v>
      </c>
      <c r="H41" s="16">
        <f>Tabla10[[#This Row],[P1 + P4]]*VLOOKUP(MONTH(Tabla10[[#This Row],[Fecha final]]),Tabla20[#All],2,FALSE)</f>
        <v>0</v>
      </c>
      <c r="I41" s="16">
        <f>Tabla10[[#This Row],[P2 + P5]]*VLOOKUP(MONTH(Tabla10[[#This Row],[Fecha final]]),Tabla20[#All],3,FALSE)</f>
        <v>1870</v>
      </c>
      <c r="J41" s="16">
        <f>(Tabla10[[#This Row],[P3 + P6]])*VLOOKUP(MONTH(Tabla10[[#This Row],[Fecha final]]),Tabla20[#All],4,FALSE)</f>
        <v>758.19420000000002</v>
      </c>
      <c r="K41" s="16">
        <f>Tabla10[[#This Row],[P1 + P4]]*VLOOKUP(MONTH(Tabla10[[#This Row],[Fecha final]]),Tabla20[#All],5,FALSE)</f>
        <v>0</v>
      </c>
      <c r="L41" s="16">
        <f>Tabla10[[#This Row],[P2 + P5]]*VLOOKUP(MONTH(Tabla10[[#This Row],[Fecha final]]),Tabla20[#All],6,FALSE)</f>
        <v>0</v>
      </c>
      <c r="M41" s="16">
        <f>Tabla10[[#This Row],[P3 + P6]]*VLOOKUP(MONTH(Tabla10[[#This Row],[Fecha final]]),Tabla20[#All],7,FALSE)</f>
        <v>1770.8058000000001</v>
      </c>
      <c r="N41" s="16">
        <f>YEAR(Tabla10[[#This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141</v>
      </c>
      <c r="B55" s="16" t="s">
        <v>68</v>
      </c>
      <c r="C55" s="16">
        <v>10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67</v>
      </c>
      <c r="B56" s="16" t="s">
        <v>141</v>
      </c>
      <c r="C56" s="16">
        <v>21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66</v>
      </c>
      <c r="B57" s="16" t="s">
        <v>67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65</v>
      </c>
      <c r="B58" s="16" t="s">
        <v>66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65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55</v>
      </c>
      <c r="B66" s="16" t="s">
        <v>57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54</v>
      </c>
      <c r="B67" s="16" t="s">
        <v>55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53</v>
      </c>
      <c r="B68" s="16" t="s">
        <v>54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52</v>
      </c>
      <c r="B69" s="16" t="s">
        <v>53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52</v>
      </c>
      <c r="C70" s="16">
        <v>30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50</v>
      </c>
      <c r="B71" s="16" t="s">
        <v>51</v>
      </c>
      <c r="C71" s="16">
        <v>31</v>
      </c>
      <c r="D71" s="16" t="s">
        <v>42</v>
      </c>
      <c r="E71" s="16">
        <v>3</v>
      </c>
      <c r="F71" s="16">
        <v>1</v>
      </c>
      <c r="G71" s="16">
        <v>0</v>
      </c>
    </row>
    <row r="72" spans="1:7">
      <c r="A72" s="16" t="s">
        <v>48</v>
      </c>
      <c r="B72" s="16" t="s">
        <v>50</v>
      </c>
      <c r="C72" s="16">
        <v>30</v>
      </c>
      <c r="D72" s="16" t="s">
        <v>42</v>
      </c>
      <c r="E72" s="16">
        <v>165</v>
      </c>
      <c r="F72" s="16">
        <v>254</v>
      </c>
      <c r="G72" s="16">
        <v>17</v>
      </c>
    </row>
    <row r="73" spans="1:7">
      <c r="A73" s="16" t="s">
        <v>47</v>
      </c>
      <c r="B73" s="16" t="s">
        <v>48</v>
      </c>
      <c r="C73" s="16">
        <v>31</v>
      </c>
      <c r="D73" s="16" t="s">
        <v>42</v>
      </c>
      <c r="E73" s="16">
        <v>65</v>
      </c>
      <c r="F73" s="16">
        <v>1166</v>
      </c>
      <c r="G73" s="16">
        <v>37</v>
      </c>
    </row>
    <row r="74" spans="1:7">
      <c r="A74" s="16" t="s">
        <v>46</v>
      </c>
      <c r="B74" s="16" t="s">
        <v>47</v>
      </c>
      <c r="C74" s="16">
        <v>28</v>
      </c>
      <c r="D74" s="16" t="s">
        <v>42</v>
      </c>
      <c r="E74" s="16">
        <v>36</v>
      </c>
      <c r="F74" s="16">
        <v>1152</v>
      </c>
      <c r="G74" s="16">
        <v>36</v>
      </c>
    </row>
    <row r="75" spans="1:7">
      <c r="A75" s="16" t="s">
        <v>45</v>
      </c>
      <c r="B75" s="16" t="s">
        <v>46</v>
      </c>
      <c r="C75" s="16">
        <v>31</v>
      </c>
      <c r="D75" s="16" t="s">
        <v>42</v>
      </c>
      <c r="E75" s="16">
        <v>58</v>
      </c>
      <c r="F75" s="16">
        <v>1691</v>
      </c>
      <c r="G75" s="16">
        <v>46</v>
      </c>
    </row>
    <row r="76" spans="1:7">
      <c r="A76" s="16" t="s">
        <v>44</v>
      </c>
      <c r="B76" s="16" t="s">
        <v>45</v>
      </c>
      <c r="C76" s="16">
        <v>31</v>
      </c>
      <c r="D76" s="16" t="s">
        <v>42</v>
      </c>
      <c r="E76" s="16">
        <v>109</v>
      </c>
      <c r="F76" s="16">
        <v>1770</v>
      </c>
      <c r="G76" s="16">
        <v>48</v>
      </c>
    </row>
    <row r="77" spans="1:7">
      <c r="A77" s="16" t="s">
        <v>43</v>
      </c>
      <c r="B77" s="16" t="s">
        <v>44</v>
      </c>
      <c r="C77" s="16">
        <v>30</v>
      </c>
      <c r="D77" s="16" t="s">
        <v>42</v>
      </c>
      <c r="E77" s="16">
        <v>37</v>
      </c>
      <c r="F77" s="16">
        <v>779</v>
      </c>
      <c r="G77" s="16">
        <v>51</v>
      </c>
    </row>
    <row r="78" spans="1:7">
      <c r="A78" s="16" t="s">
        <v>41</v>
      </c>
      <c r="B78" s="16" t="s">
        <v>43</v>
      </c>
      <c r="C78" s="16">
        <v>31</v>
      </c>
      <c r="D78" s="16" t="s">
        <v>42</v>
      </c>
      <c r="E78" s="16">
        <v>66</v>
      </c>
      <c r="F78" s="16">
        <v>231</v>
      </c>
      <c r="G78" s="16">
        <v>42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4</v>
      </c>
      <c r="F79" s="16">
        <v>10</v>
      </c>
      <c r="G79" s="16">
        <v>8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97</v>
      </c>
      <c r="F80" s="16">
        <v>94</v>
      </c>
      <c r="G80" s="16">
        <v>26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46</v>
      </c>
      <c r="F81" s="16">
        <v>61</v>
      </c>
      <c r="G81" s="16">
        <v>6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52</v>
      </c>
      <c r="C87" s="16">
        <v>52</v>
      </c>
      <c r="D87" s="16">
        <v>52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32</v>
      </c>
      <c r="G89" s="16">
        <v>32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36</v>
      </c>
      <c r="F90" s="16">
        <v>36</v>
      </c>
      <c r="G90" s="16">
        <v>32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36</v>
      </c>
      <c r="F91" s="16">
        <v>36</v>
      </c>
      <c r="G91" s="16">
        <v>36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28</v>
      </c>
      <c r="F92" s="16">
        <v>32</v>
      </c>
      <c r="G92" s="16">
        <v>28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12</v>
      </c>
      <c r="G93" s="16">
        <v>16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8</v>
      </c>
      <c r="F94" s="16">
        <v>8</v>
      </c>
      <c r="G94" s="16">
        <v>4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8</v>
      </c>
      <c r="F95" s="16">
        <v>0</v>
      </c>
      <c r="G95" s="16">
        <v>8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8</v>
      </c>
      <c r="F96" s="16">
        <v>0</v>
      </c>
      <c r="G96" s="16">
        <v>16</v>
      </c>
    </row>
    <row r="97" spans="1:7">
      <c r="A97" s="16" t="s">
        <v>141</v>
      </c>
      <c r="B97" s="16" t="s">
        <v>68</v>
      </c>
      <c r="C97" s="16">
        <v>10</v>
      </c>
      <c r="D97" s="16" t="s">
        <v>42</v>
      </c>
      <c r="E97" s="16">
        <v>20</v>
      </c>
      <c r="F97" s="16">
        <v>16</v>
      </c>
      <c r="G97" s="16">
        <v>4</v>
      </c>
    </row>
    <row r="98" spans="1:7">
      <c r="A98" s="16" t="s">
        <v>67</v>
      </c>
      <c r="B98" s="16" t="s">
        <v>141</v>
      </c>
      <c r="C98" s="16">
        <v>21</v>
      </c>
      <c r="D98" s="16" t="s">
        <v>42</v>
      </c>
      <c r="E98" s="16">
        <v>12</v>
      </c>
      <c r="F98" s="16">
        <v>12</v>
      </c>
      <c r="G98" s="16">
        <v>4</v>
      </c>
    </row>
    <row r="99" spans="1:7">
      <c r="A99" s="16" t="s">
        <v>66</v>
      </c>
      <c r="B99" s="16" t="s">
        <v>67</v>
      </c>
      <c r="C99" s="16">
        <v>30</v>
      </c>
      <c r="D99" s="16" t="s">
        <v>42</v>
      </c>
      <c r="E99" s="16">
        <v>8</v>
      </c>
      <c r="F99" s="16">
        <v>0</v>
      </c>
      <c r="G99" s="16">
        <v>12</v>
      </c>
    </row>
    <row r="100" spans="1:7">
      <c r="A100" s="16" t="s">
        <v>65</v>
      </c>
      <c r="B100" s="16" t="s">
        <v>66</v>
      </c>
      <c r="C100" s="16">
        <v>31</v>
      </c>
      <c r="D100" s="16" t="s">
        <v>42</v>
      </c>
      <c r="E100" s="16">
        <v>12</v>
      </c>
      <c r="F100" s="16">
        <v>12</v>
      </c>
      <c r="G100" s="16">
        <v>8</v>
      </c>
    </row>
    <row r="101" spans="1:7">
      <c r="A101" s="16" t="s">
        <v>63</v>
      </c>
      <c r="B101" s="16" t="s">
        <v>65</v>
      </c>
      <c r="C101" s="16">
        <v>30</v>
      </c>
      <c r="D101" s="16" t="s">
        <v>42</v>
      </c>
      <c r="E101" s="16">
        <v>20</v>
      </c>
      <c r="F101" s="16">
        <v>20</v>
      </c>
      <c r="G101" s="16">
        <v>16</v>
      </c>
    </row>
    <row r="102" spans="1:7">
      <c r="A102" s="16" t="s">
        <v>62</v>
      </c>
      <c r="B102" s="16" t="s">
        <v>63</v>
      </c>
      <c r="C102" s="16">
        <v>31</v>
      </c>
      <c r="D102" s="16" t="s">
        <v>42</v>
      </c>
      <c r="E102" s="16">
        <v>0</v>
      </c>
      <c r="F102" s="16">
        <v>20</v>
      </c>
      <c r="G102" s="16">
        <v>24</v>
      </c>
    </row>
    <row r="103" spans="1:7">
      <c r="A103" s="16" t="s">
        <v>61</v>
      </c>
      <c r="B103" s="16" t="s">
        <v>62</v>
      </c>
      <c r="C103" s="16">
        <v>28</v>
      </c>
      <c r="D103" s="16" t="s">
        <v>42</v>
      </c>
      <c r="E103" s="16">
        <v>24</v>
      </c>
      <c r="F103" s="16">
        <v>24</v>
      </c>
      <c r="G103" s="16">
        <v>20</v>
      </c>
    </row>
    <row r="104" spans="1:7">
      <c r="A104" s="16" t="s">
        <v>60</v>
      </c>
      <c r="B104" s="16" t="s">
        <v>61</v>
      </c>
      <c r="C104" s="16">
        <v>31</v>
      </c>
      <c r="D104" s="16" t="s">
        <v>42</v>
      </c>
      <c r="E104" s="16">
        <v>24</v>
      </c>
      <c r="F104" s="16">
        <v>28</v>
      </c>
      <c r="G104" s="16">
        <v>12</v>
      </c>
    </row>
    <row r="105" spans="1:7">
      <c r="A105" s="16" t="s">
        <v>59</v>
      </c>
      <c r="B105" s="16" t="s">
        <v>60</v>
      </c>
      <c r="C105" s="16">
        <v>29</v>
      </c>
      <c r="D105" s="16" t="s">
        <v>42</v>
      </c>
      <c r="E105" s="16">
        <v>24</v>
      </c>
      <c r="F105" s="16">
        <v>24</v>
      </c>
      <c r="G105" s="16">
        <v>20</v>
      </c>
    </row>
    <row r="106" spans="1:7">
      <c r="A106" s="16" t="s">
        <v>58</v>
      </c>
      <c r="B106" s="16" t="s">
        <v>59</v>
      </c>
      <c r="C106" s="16">
        <v>2</v>
      </c>
      <c r="D106" s="16" t="s">
        <v>42</v>
      </c>
      <c r="E106" s="16">
        <v>20</v>
      </c>
      <c r="F106" s="16">
        <v>20</v>
      </c>
      <c r="G106" s="16">
        <v>20</v>
      </c>
    </row>
    <row r="107" spans="1:7">
      <c r="A107" s="16" t="s">
        <v>57</v>
      </c>
      <c r="B107" s="16" t="s">
        <v>58</v>
      </c>
      <c r="C107" s="16">
        <v>30</v>
      </c>
      <c r="D107" s="16" t="s">
        <v>42</v>
      </c>
      <c r="E107" s="16">
        <v>0</v>
      </c>
      <c r="F107" s="16">
        <v>24</v>
      </c>
      <c r="G107" s="16">
        <v>20</v>
      </c>
    </row>
    <row r="108" spans="1:7">
      <c r="A108" s="16" t="s">
        <v>55</v>
      </c>
      <c r="B108" s="16" t="s">
        <v>57</v>
      </c>
      <c r="C108" s="16">
        <v>31</v>
      </c>
      <c r="D108" s="16" t="s">
        <v>42</v>
      </c>
      <c r="E108" s="16">
        <v>8</v>
      </c>
      <c r="F108" s="16">
        <v>12</v>
      </c>
      <c r="G108" s="16">
        <v>8</v>
      </c>
    </row>
    <row r="109" spans="1:7">
      <c r="A109" s="16" t="s">
        <v>54</v>
      </c>
      <c r="B109" s="16" t="s">
        <v>55</v>
      </c>
      <c r="C109" s="16">
        <v>30</v>
      </c>
      <c r="D109" s="16" t="s">
        <v>42</v>
      </c>
      <c r="E109" s="16">
        <v>8</v>
      </c>
      <c r="F109" s="16">
        <v>0</v>
      </c>
      <c r="G109" s="16">
        <v>8</v>
      </c>
    </row>
    <row r="110" spans="1:7">
      <c r="A110" s="16" t="s">
        <v>53</v>
      </c>
      <c r="B110" s="16" t="s">
        <v>54</v>
      </c>
      <c r="C110" s="16">
        <v>31</v>
      </c>
      <c r="D110" s="16" t="s">
        <v>42</v>
      </c>
      <c r="E110" s="16">
        <v>16</v>
      </c>
      <c r="F110" s="16">
        <v>0</v>
      </c>
      <c r="G110" s="16">
        <v>16</v>
      </c>
    </row>
    <row r="111" spans="1:7">
      <c r="A111" s="16" t="s">
        <v>52</v>
      </c>
      <c r="B111" s="16" t="s">
        <v>53</v>
      </c>
      <c r="C111" s="16">
        <v>31</v>
      </c>
      <c r="D111" s="16" t="s">
        <v>42</v>
      </c>
      <c r="E111" s="16">
        <v>12</v>
      </c>
      <c r="F111" s="16">
        <v>8</v>
      </c>
      <c r="G111" s="16">
        <v>8</v>
      </c>
    </row>
    <row r="112" spans="1:7">
      <c r="A112" s="16" t="s">
        <v>51</v>
      </c>
      <c r="B112" s="16" t="s">
        <v>52</v>
      </c>
      <c r="C112" s="16">
        <v>30</v>
      </c>
      <c r="D112" s="16" t="s">
        <v>42</v>
      </c>
      <c r="E112" s="16">
        <v>8</v>
      </c>
      <c r="F112" s="16">
        <v>0</v>
      </c>
      <c r="G112" s="16">
        <v>12</v>
      </c>
    </row>
    <row r="113" spans="1:7">
      <c r="A113" s="16" t="s">
        <v>50</v>
      </c>
      <c r="B113" s="16" t="s">
        <v>51</v>
      </c>
      <c r="C113" s="16">
        <v>31</v>
      </c>
      <c r="D113" s="16" t="s">
        <v>42</v>
      </c>
      <c r="E113" s="16">
        <v>8</v>
      </c>
      <c r="F113" s="16">
        <v>8</v>
      </c>
      <c r="G113" s="16">
        <v>4</v>
      </c>
    </row>
    <row r="114" spans="1:7">
      <c r="A114" s="16" t="s">
        <v>48</v>
      </c>
      <c r="B114" s="16" t="s">
        <v>50</v>
      </c>
      <c r="C114" s="16">
        <v>30</v>
      </c>
      <c r="D114" s="16" t="s">
        <v>42</v>
      </c>
      <c r="E114" s="16">
        <v>21</v>
      </c>
      <c r="F114" s="16">
        <v>23</v>
      </c>
      <c r="G114" s="16">
        <v>16</v>
      </c>
    </row>
    <row r="115" spans="1:7">
      <c r="A115" s="16" t="s">
        <v>47</v>
      </c>
      <c r="B115" s="16" t="s">
        <v>48</v>
      </c>
      <c r="C115" s="16">
        <v>31</v>
      </c>
      <c r="D115" s="16" t="s">
        <v>42</v>
      </c>
      <c r="E115" s="16">
        <v>19</v>
      </c>
      <c r="F115" s="16">
        <v>26</v>
      </c>
      <c r="G115" s="16">
        <v>10</v>
      </c>
    </row>
    <row r="116" spans="1:7">
      <c r="A116" s="16" t="s">
        <v>46</v>
      </c>
      <c r="B116" s="16" t="s">
        <v>47</v>
      </c>
      <c r="C116" s="16">
        <v>28</v>
      </c>
      <c r="D116" s="16" t="s">
        <v>42</v>
      </c>
      <c r="E116" s="16">
        <v>24</v>
      </c>
      <c r="F116" s="16">
        <v>34</v>
      </c>
      <c r="G116" s="16">
        <v>26</v>
      </c>
    </row>
    <row r="117" spans="1:7">
      <c r="A117" s="16" t="s">
        <v>45</v>
      </c>
      <c r="B117" s="16" t="s">
        <v>46</v>
      </c>
      <c r="C117" s="16">
        <v>31</v>
      </c>
      <c r="D117" s="16" t="s">
        <v>42</v>
      </c>
      <c r="E117" s="16">
        <v>24</v>
      </c>
      <c r="F117" s="16">
        <v>34</v>
      </c>
      <c r="G117" s="16">
        <v>26</v>
      </c>
    </row>
    <row r="118" spans="1:7">
      <c r="A118" s="16" t="s">
        <v>44</v>
      </c>
      <c r="B118" s="16" t="s">
        <v>45</v>
      </c>
      <c r="C118" s="16">
        <v>31</v>
      </c>
      <c r="D118" s="16" t="s">
        <v>42</v>
      </c>
      <c r="E118" s="16">
        <v>17</v>
      </c>
      <c r="F118" s="16">
        <v>28</v>
      </c>
      <c r="G118" s="16">
        <v>22</v>
      </c>
    </row>
    <row r="119" spans="1:7">
      <c r="A119" s="16" t="s">
        <v>43</v>
      </c>
      <c r="B119" s="16" t="s">
        <v>44</v>
      </c>
      <c r="C119" s="16">
        <v>30</v>
      </c>
      <c r="D119" s="16" t="s">
        <v>42</v>
      </c>
      <c r="E119" s="16">
        <v>15</v>
      </c>
      <c r="F119" s="16">
        <v>29</v>
      </c>
      <c r="G119" s="16">
        <v>23</v>
      </c>
    </row>
    <row r="120" spans="1:7">
      <c r="A120" s="16" t="s">
        <v>41</v>
      </c>
      <c r="B120" s="16" t="s">
        <v>43</v>
      </c>
      <c r="C120" s="16">
        <v>31</v>
      </c>
      <c r="D120" s="16" t="s">
        <v>42</v>
      </c>
      <c r="E120" s="16">
        <v>19</v>
      </c>
      <c r="F120" s="16">
        <v>24</v>
      </c>
      <c r="G120" s="16">
        <v>20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6</v>
      </c>
      <c r="F121" s="16">
        <v>7</v>
      </c>
      <c r="G121" s="16">
        <v>4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21</v>
      </c>
      <c r="F122" s="16">
        <v>19</v>
      </c>
      <c r="G122" s="16">
        <v>16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9</v>
      </c>
      <c r="F123" s="16">
        <v>9</v>
      </c>
      <c r="G123" s="16">
        <v>9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8B13-F008-4E1C-9976-2261FC0133CA}">
  <dimension ref="A1:N129"/>
  <sheetViews>
    <sheetView topLeftCell="A4" workbookViewId="0">
      <selection activeCell="K47" sqref="K4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142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5266</v>
      </c>
      <c r="C4" s="16">
        <v>3430</v>
      </c>
      <c r="D4" s="16">
        <v>5333</v>
      </c>
    </row>
    <row r="5" spans="1:14">
      <c r="A5" s="16" t="s">
        <v>36</v>
      </c>
      <c r="B5" s="16">
        <v>38</v>
      </c>
      <c r="C5" s="16">
        <v>24</v>
      </c>
      <c r="D5" s="16">
        <v>38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 hidden="1">
      <c r="A7" s="17">
        <v>43990</v>
      </c>
      <c r="B7" s="17">
        <v>44019</v>
      </c>
      <c r="C7" s="16">
        <v>29</v>
      </c>
      <c r="D7" s="16" t="s">
        <v>42</v>
      </c>
      <c r="E7" s="16">
        <v>196</v>
      </c>
      <c r="F7" s="16">
        <v>421</v>
      </c>
      <c r="G7" s="16">
        <v>113</v>
      </c>
      <c r="H7" s="16">
        <f>Tabla11[[#This Row],[P1 + P4]]*VLOOKUP(MONTH(Tabla11[[#This Row],[Fecha final]]),Tabla20[#All],2,FALSE)</f>
        <v>196</v>
      </c>
      <c r="I7" s="16">
        <f>Tabla11[[#This Row],[P2 + P5]]*VLOOKUP(MONTH(Tabla11[[#This Row],[Fecha final]]),Tabla20[#All],3,FALSE)</f>
        <v>421</v>
      </c>
      <c r="J7" s="16">
        <f>(Tabla11[[#This Row],[P3 + P6]])*VLOOKUP(MONTH(Tabla11[[#This Row],[Fecha final]]),Tabla20[#All],4,FALSE)</f>
        <v>0</v>
      </c>
      <c r="K7" s="16">
        <f>Tabla11[[#This Row],[P1 + P4]]*VLOOKUP(MONTH(Tabla11[[#This Row],[Fecha final]]),Tabla20[#All],5,FALSE)</f>
        <v>0</v>
      </c>
      <c r="L7" s="16">
        <f>Tabla11[[#This Row],[P2 + P5]]*VLOOKUP(MONTH(Tabla11[[#This Row],[Fecha final]]),Tabla20[#All],6,FALSE)</f>
        <v>0</v>
      </c>
      <c r="M7" s="16">
        <f>Tabla11[[#This Row],[P3 + P6]]*VLOOKUP(MONTH(Tabla11[[#This Row],[Fecha final]]),Tabla20[#All],7,FALSE)</f>
        <v>113</v>
      </c>
      <c r="N7" s="16">
        <f>YEAR(Tabla11[[#This Row],[Fecha final]])</f>
        <v>2020</v>
      </c>
    </row>
    <row r="8" spans="1:14" hidden="1">
      <c r="A8" s="17">
        <v>44019</v>
      </c>
      <c r="B8" s="17">
        <v>44053</v>
      </c>
      <c r="C8" s="16">
        <v>34</v>
      </c>
      <c r="D8" s="16" t="s">
        <v>42</v>
      </c>
      <c r="E8" s="16">
        <v>2244</v>
      </c>
      <c r="F8" s="16">
        <v>6732</v>
      </c>
      <c r="G8" s="16">
        <v>4488</v>
      </c>
      <c r="H8" s="16">
        <f>Tabla11[[#This Row],[P1 + P4]]*VLOOKUP(MONTH(Tabla11[[#This Row],[Fecha final]]),Tabla20[#All],2,FALSE)</f>
        <v>0</v>
      </c>
      <c r="I8" s="16">
        <f>Tabla11[[#This Row],[P2 + P5]]*VLOOKUP(MONTH(Tabla11[[#This Row],[Fecha final]]),Tabla20[#All],3,FALSE)</f>
        <v>0</v>
      </c>
      <c r="J8" s="16">
        <f>(Tabla11[[#This Row],[P3 + P6]])*VLOOKUP(MONTH(Tabla11[[#This Row],[Fecha final]]),Tabla20[#All],4,FALSE)</f>
        <v>1506.1728000000001</v>
      </c>
      <c r="K8" s="16">
        <f>Tabla11[[#This Row],[P1 + P4]]*VLOOKUP(MONTH(Tabla11[[#This Row],[Fecha final]]),Tabla20[#All],5,FALSE)</f>
        <v>2244</v>
      </c>
      <c r="L8" s="16">
        <f>Tabla11[[#This Row],[P2 + P5]]*VLOOKUP(MONTH(Tabla11[[#This Row],[Fecha final]]),Tabla20[#All],6,FALSE)</f>
        <v>0</v>
      </c>
      <c r="M8" s="16">
        <f>Tabla11[[#This Row],[P3 + P6]]*VLOOKUP(MONTH(Tabla11[[#This Row],[Fecha final]]),Tabla20[#All],7,FALSE)</f>
        <v>2981.8272000000002</v>
      </c>
      <c r="N8" s="16">
        <f>YEAR(Tabla11[[#This Row],[Fecha final]])</f>
        <v>2020</v>
      </c>
    </row>
    <row r="9" spans="1:14" hidden="1">
      <c r="A9" s="17">
        <v>44053</v>
      </c>
      <c r="B9" s="17">
        <v>44067</v>
      </c>
      <c r="C9" s="16">
        <v>14</v>
      </c>
      <c r="D9" s="16" t="s">
        <v>42</v>
      </c>
      <c r="E9" s="16">
        <v>20</v>
      </c>
      <c r="F9" s="16">
        <v>0</v>
      </c>
      <c r="G9" s="16">
        <v>0</v>
      </c>
      <c r="H9" s="16">
        <f>Tabla11[[#This Row],[P1 + P4]]*VLOOKUP(MONTH(Tabla11[[#This Row],[Fecha final]]),Tabla20[#All],2,FALSE)</f>
        <v>0</v>
      </c>
      <c r="I9" s="16">
        <f>Tabla11[[#This Row],[P2 + P5]]*VLOOKUP(MONTH(Tabla11[[#This Row],[Fecha final]]),Tabla20[#All],3,FALSE)</f>
        <v>0</v>
      </c>
      <c r="J9" s="16">
        <f>(Tabla11[[#This Row],[P3 + P6]])*VLOOKUP(MONTH(Tabla11[[#This Row],[Fecha final]]),Tabla20[#All],4,FALSE)</f>
        <v>0</v>
      </c>
      <c r="K9" s="16">
        <f>Tabla11[[#This Row],[P1 + P4]]*VLOOKUP(MONTH(Tabla11[[#This Row],[Fecha final]]),Tabla20[#All],5,FALSE)</f>
        <v>20</v>
      </c>
      <c r="L9" s="16">
        <f>Tabla11[[#This Row],[P2 + P5]]*VLOOKUP(MONTH(Tabla11[[#This Row],[Fecha final]]),Tabla20[#All],6,FALSE)</f>
        <v>0</v>
      </c>
      <c r="M9" s="16">
        <f>Tabla11[[#This Row],[P3 + P6]]*VLOOKUP(MONTH(Tabla11[[#This Row],[Fecha final]]),Tabla20[#All],7,FALSE)</f>
        <v>0</v>
      </c>
      <c r="N9" s="16">
        <f>YEAR(Tabla11[[#This Row],[Fecha final]])</f>
        <v>2020</v>
      </c>
    </row>
    <row r="10" spans="1:14" hidden="1">
      <c r="A10" s="17">
        <v>44067</v>
      </c>
      <c r="B10" s="17">
        <v>44081</v>
      </c>
      <c r="C10" s="16">
        <v>14</v>
      </c>
      <c r="D10" s="16" t="s">
        <v>42</v>
      </c>
      <c r="E10" s="16">
        <v>105</v>
      </c>
      <c r="F10" s="16">
        <v>214</v>
      </c>
      <c r="G10" s="16">
        <v>61</v>
      </c>
      <c r="H10" s="16">
        <f>Tabla11[[#This Row],[P1 + P4]]*VLOOKUP(MONTH(Tabla11[[#This Row],[Fecha final]]),Tabla20[#All],2,FALSE)</f>
        <v>0</v>
      </c>
      <c r="I10" s="16">
        <f>Tabla11[[#This Row],[P2 + P5]]*VLOOKUP(MONTH(Tabla11[[#This Row],[Fecha final]]),Tabla20[#All],3,FALSE)</f>
        <v>0</v>
      </c>
      <c r="J10" s="16">
        <f>(Tabla11[[#This Row],[P3 + P6]])*VLOOKUP(MONTH(Tabla11[[#This Row],[Fecha final]]),Tabla20[#All],4,FALSE)</f>
        <v>21.337800000000001</v>
      </c>
      <c r="K10" s="16">
        <f>Tabla11[[#This Row],[P1 + P4]]*VLOOKUP(MONTH(Tabla11[[#This Row],[Fecha final]]),Tabla20[#All],5,FALSE)</f>
        <v>105</v>
      </c>
      <c r="L10" s="16">
        <f>Tabla11[[#This Row],[P2 + P5]]*VLOOKUP(MONTH(Tabla11[[#This Row],[Fecha final]]),Tabla20[#All],6,FALSE)</f>
        <v>0</v>
      </c>
      <c r="M10" s="16">
        <f>Tabla11[[#This Row],[P3 + P6]]*VLOOKUP(MONTH(Tabla11[[#This Row],[Fecha final]]),Tabla20[#All],7,FALSE)</f>
        <v>39.662199999999999</v>
      </c>
      <c r="N10" s="16">
        <f>YEAR(Tabla11[[#This Row],[Fecha final]])</f>
        <v>2020</v>
      </c>
    </row>
    <row r="11" spans="1:14" hidden="1">
      <c r="A11" s="17">
        <v>44081</v>
      </c>
      <c r="B11" s="17">
        <v>44130</v>
      </c>
      <c r="C11" s="16">
        <v>49</v>
      </c>
      <c r="D11" s="16" t="s">
        <v>42</v>
      </c>
      <c r="E11" s="16">
        <v>447</v>
      </c>
      <c r="F11" s="16">
        <v>927</v>
      </c>
      <c r="G11" s="16">
        <v>258</v>
      </c>
      <c r="H11" s="16">
        <f>Tabla11[[#This Row],[P1 + P4]]*VLOOKUP(MONTH(Tabla11[[#This Row],[Fecha final]]),Tabla20[#All],2,FALSE)</f>
        <v>0</v>
      </c>
      <c r="I11" s="16">
        <f>Tabla11[[#This Row],[P2 + P5]]*VLOOKUP(MONTH(Tabla11[[#This Row],[Fecha final]]),Tabla20[#All],3,FALSE)</f>
        <v>0</v>
      </c>
      <c r="J11" s="16">
        <f>(Tabla11[[#This Row],[P3 + P6]])*VLOOKUP(MONTH(Tabla11[[#This Row],[Fecha final]]),Tabla20[#All],4,FALSE)</f>
        <v>0</v>
      </c>
      <c r="K11" s="16">
        <f>Tabla11[[#This Row],[P1 + P4]]*VLOOKUP(MONTH(Tabla11[[#This Row],[Fecha final]]),Tabla20[#All],5,FALSE)</f>
        <v>447</v>
      </c>
      <c r="L11" s="16">
        <f>Tabla11[[#This Row],[P2 + P5]]*VLOOKUP(MONTH(Tabla11[[#This Row],[Fecha final]]),Tabla20[#All],6,FALSE)</f>
        <v>927</v>
      </c>
      <c r="M11" s="16">
        <f>Tabla11[[#This Row],[P3 + P6]]*VLOOKUP(MONTH(Tabla11[[#This Row],[Fecha final]]),Tabla20[#All],7,FALSE)</f>
        <v>258</v>
      </c>
      <c r="N11" s="16">
        <f>YEAR(Tabla11[[#This Row],[Fecha final]])</f>
        <v>2020</v>
      </c>
    </row>
    <row r="12" spans="1:14" hidden="1">
      <c r="A12" s="17">
        <v>44130</v>
      </c>
      <c r="B12" s="17">
        <v>44165</v>
      </c>
      <c r="C12" s="16">
        <v>35</v>
      </c>
      <c r="D12" s="16" t="s">
        <v>42</v>
      </c>
      <c r="E12" s="16">
        <v>197</v>
      </c>
      <c r="F12" s="16">
        <v>1378</v>
      </c>
      <c r="G12" s="16">
        <v>267</v>
      </c>
      <c r="H12" s="16">
        <f>Tabla11[[#This Row],[P1 + P4]]*VLOOKUP(MONTH(Tabla11[[#This Row],[Fecha final]]),Tabla20[#All],2,FALSE)</f>
        <v>0</v>
      </c>
      <c r="I12" s="16">
        <f>Tabla11[[#This Row],[P2 + P5]]*VLOOKUP(MONTH(Tabla11[[#This Row],[Fecha final]]),Tabla20[#All],3,FALSE)</f>
        <v>1378</v>
      </c>
      <c r="J12" s="16">
        <f>(Tabla11[[#This Row],[P3 + P6]])*VLOOKUP(MONTH(Tabla11[[#This Row],[Fecha final]]),Tabla20[#All],4,FALSE)</f>
        <v>73.905599999999993</v>
      </c>
      <c r="K12" s="16">
        <f>Tabla11[[#This Row],[P1 + P4]]*VLOOKUP(MONTH(Tabla11[[#This Row],[Fecha final]]),Tabla20[#All],5,FALSE)</f>
        <v>0</v>
      </c>
      <c r="L12" s="16">
        <f>Tabla11[[#This Row],[P2 + P5]]*VLOOKUP(MONTH(Tabla11[[#This Row],[Fecha final]]),Tabla20[#All],6,FALSE)</f>
        <v>0</v>
      </c>
      <c r="M12" s="16">
        <f>Tabla11[[#This Row],[P3 + P6]]*VLOOKUP(MONTH(Tabla11[[#This Row],[Fecha final]]),Tabla20[#All],7,FALSE)</f>
        <v>193.09439999999998</v>
      </c>
      <c r="N12" s="16">
        <f>YEAR(Tabla11[[#This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42</v>
      </c>
      <c r="E13" s="16">
        <v>226</v>
      </c>
      <c r="F13" s="16">
        <v>1571</v>
      </c>
      <c r="G13" s="16">
        <v>286</v>
      </c>
      <c r="H13" s="16">
        <f>Tabla11[[#This Row],[P1 + P4]]*VLOOKUP(MONTH(Tabla11[[#This Row],[Fecha final]]),Tabla20[#All],2,FALSE)</f>
        <v>226</v>
      </c>
      <c r="I13" s="16">
        <f>Tabla11[[#This Row],[P2 + P5]]*VLOOKUP(MONTH(Tabla11[[#This Row],[Fecha final]]),Tabla20[#All],3,FALSE)</f>
        <v>1571</v>
      </c>
      <c r="J13" s="16">
        <f>(Tabla11[[#This Row],[P3 + P6]])*VLOOKUP(MONTH(Tabla11[[#This Row],[Fecha final]]),Tabla20[#All],4,FALSE)</f>
        <v>0</v>
      </c>
      <c r="K13" s="16">
        <f>Tabla11[[#This Row],[P1 + P4]]*VLOOKUP(MONTH(Tabla11[[#This Row],[Fecha final]]),Tabla20[#All],5,FALSE)</f>
        <v>0</v>
      </c>
      <c r="L13" s="16">
        <f>Tabla11[[#This Row],[P2 + P5]]*VLOOKUP(MONTH(Tabla11[[#This Row],[Fecha final]]),Tabla20[#All],6,FALSE)</f>
        <v>0</v>
      </c>
      <c r="M13" s="16">
        <f>Tabla11[[#This Row],[P3 + P6]]*VLOOKUP(MONTH(Tabla11[[#This Row],[Fecha final]]),Tabla20[#All],7,FALSE)</f>
        <v>286</v>
      </c>
      <c r="N13" s="16">
        <f>YEAR(Tabla11[[#This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42</v>
      </c>
      <c r="E14" s="16">
        <v>239</v>
      </c>
      <c r="F14" s="16">
        <v>1827</v>
      </c>
      <c r="G14" s="16">
        <v>314</v>
      </c>
      <c r="H14" s="16">
        <f>Tabla11[[#This Row],[P1 + P4]]*VLOOKUP(MONTH(Tabla11[[#This Row],[Fecha final]]),Tabla20[#All],2,FALSE)</f>
        <v>239</v>
      </c>
      <c r="I14" s="16">
        <f>Tabla11[[#This Row],[P2 + P5]]*VLOOKUP(MONTH(Tabla11[[#This Row],[Fecha final]]),Tabla20[#All],3,FALSE)</f>
        <v>1827</v>
      </c>
      <c r="J14" s="16">
        <f>(Tabla11[[#This Row],[P3 + P6]])*VLOOKUP(MONTH(Tabla11[[#This Row],[Fecha final]]),Tabla20[#All],4,FALSE)</f>
        <v>0</v>
      </c>
      <c r="K14" s="16">
        <f>Tabla11[[#This Row],[P1 + P4]]*VLOOKUP(MONTH(Tabla11[[#This Row],[Fecha final]]),Tabla20[#All],5,FALSE)</f>
        <v>0</v>
      </c>
      <c r="L14" s="16">
        <f>Tabla11[[#This Row],[P2 + P5]]*VLOOKUP(MONTH(Tabla11[[#This Row],[Fecha final]]),Tabla20[#All],6,FALSE)</f>
        <v>0</v>
      </c>
      <c r="M14" s="16">
        <f>Tabla11[[#This Row],[P3 + P6]]*VLOOKUP(MONTH(Tabla11[[#This Row],[Fecha final]]),Tabla20[#All],7,FALSE)</f>
        <v>314</v>
      </c>
      <c r="N14" s="16">
        <f>YEAR(Tabla11[[#This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42</v>
      </c>
      <c r="E15" s="16">
        <v>177</v>
      </c>
      <c r="F15" s="16">
        <v>1246</v>
      </c>
      <c r="G15" s="16">
        <v>236</v>
      </c>
      <c r="H15" s="16">
        <f>Tabla11[[#This Row],[P1 + P4]]*VLOOKUP(MONTH(Tabla11[[#This Row],[Fecha final]]),Tabla20[#All],2,FALSE)</f>
        <v>177</v>
      </c>
      <c r="I15" s="16">
        <f>Tabla11[[#This Row],[P2 + P5]]*VLOOKUP(MONTH(Tabla11[[#This Row],[Fecha final]]),Tabla20[#All],3,FALSE)</f>
        <v>1246</v>
      </c>
      <c r="J15" s="16">
        <f>(Tabla11[[#This Row],[P3 + P6]])*VLOOKUP(MONTH(Tabla11[[#This Row],[Fecha final]]),Tabla20[#All],4,FALSE)</f>
        <v>0</v>
      </c>
      <c r="K15" s="16">
        <f>Tabla11[[#This Row],[P1 + P4]]*VLOOKUP(MONTH(Tabla11[[#This Row],[Fecha final]]),Tabla20[#All],5,FALSE)</f>
        <v>0</v>
      </c>
      <c r="L15" s="16">
        <f>Tabla11[[#This Row],[P2 + P5]]*VLOOKUP(MONTH(Tabla11[[#This Row],[Fecha final]]),Tabla20[#All],6,FALSE)</f>
        <v>0</v>
      </c>
      <c r="M15" s="16">
        <f>Tabla11[[#This Row],[P3 + P6]]*VLOOKUP(MONTH(Tabla11[[#This Row],[Fecha final]]),Tabla20[#All],7,FALSE)</f>
        <v>236</v>
      </c>
      <c r="N15" s="16">
        <f>YEAR(Tabla11[[#This Row],[Fecha final]])</f>
        <v>2021</v>
      </c>
    </row>
    <row r="16" spans="1:14" hidden="1">
      <c r="A16" s="17">
        <v>44255</v>
      </c>
      <c r="B16" s="17">
        <v>44291</v>
      </c>
      <c r="C16" s="16">
        <v>36</v>
      </c>
      <c r="D16" s="16" t="s">
        <v>42</v>
      </c>
      <c r="E16" s="16">
        <v>280</v>
      </c>
      <c r="F16" s="16">
        <v>1433</v>
      </c>
      <c r="G16" s="16">
        <v>283</v>
      </c>
      <c r="H16" s="16">
        <f>Tabla11[[#This Row],[P1 + P4]]*VLOOKUP(MONTH(Tabla11[[#This Row],[Fecha final]]),Tabla20[#All],2,FALSE)</f>
        <v>0</v>
      </c>
      <c r="I16" s="16">
        <f>Tabla11[[#This Row],[P2 + P5]]*VLOOKUP(MONTH(Tabla11[[#This Row],[Fecha final]]),Tabla20[#All],3,FALSE)</f>
        <v>0</v>
      </c>
      <c r="J16" s="16">
        <f>(Tabla11[[#This Row],[P3 + P6]])*VLOOKUP(MONTH(Tabla11[[#This Row],[Fecha final]]),Tabla20[#All],4,FALSE)</f>
        <v>0</v>
      </c>
      <c r="K16" s="16">
        <f>Tabla11[[#This Row],[P1 + P4]]*VLOOKUP(MONTH(Tabla11[[#This Row],[Fecha final]]),Tabla20[#All],5,FALSE)</f>
        <v>280</v>
      </c>
      <c r="L16" s="16">
        <f>Tabla11[[#This Row],[P2 + P5]]*VLOOKUP(MONTH(Tabla11[[#This Row],[Fecha final]]),Tabla20[#All],6,FALSE)</f>
        <v>1433</v>
      </c>
      <c r="M16" s="16">
        <f>Tabla11[[#This Row],[P3 + P6]]*VLOOKUP(MONTH(Tabla11[[#This Row],[Fecha final]]),Tabla20[#All],7,FALSE)</f>
        <v>283</v>
      </c>
      <c r="N16" s="16">
        <f>YEAR(Tabla11[[#This Row],[Fecha final]])</f>
        <v>2021</v>
      </c>
    </row>
    <row r="17" spans="1:14" hidden="1">
      <c r="A17" s="17">
        <v>44291</v>
      </c>
      <c r="B17" s="17">
        <v>44316</v>
      </c>
      <c r="C17" s="16">
        <v>25</v>
      </c>
      <c r="D17" s="16" t="s">
        <v>42</v>
      </c>
      <c r="E17" s="16">
        <v>268</v>
      </c>
      <c r="F17" s="16">
        <v>690</v>
      </c>
      <c r="G17" s="16">
        <v>313</v>
      </c>
      <c r="H17" s="16">
        <f>Tabla11[[#This Row],[P1 + P4]]*VLOOKUP(MONTH(Tabla11[[#This Row],[Fecha final]]),Tabla20[#All],2,FALSE)</f>
        <v>0</v>
      </c>
      <c r="I17" s="16">
        <f>Tabla11[[#This Row],[P2 + P5]]*VLOOKUP(MONTH(Tabla11[[#This Row],[Fecha final]]),Tabla20[#All],3,FALSE)</f>
        <v>0</v>
      </c>
      <c r="J17" s="16">
        <f>(Tabla11[[#This Row],[P3 + P6]])*VLOOKUP(MONTH(Tabla11[[#This Row],[Fecha final]]),Tabla20[#All],4,FALSE)</f>
        <v>0</v>
      </c>
      <c r="K17" s="16">
        <f>Tabla11[[#This Row],[P1 + P4]]*VLOOKUP(MONTH(Tabla11[[#This Row],[Fecha final]]),Tabla20[#All],5,FALSE)</f>
        <v>268</v>
      </c>
      <c r="L17" s="16">
        <f>Tabla11[[#This Row],[P2 + P5]]*VLOOKUP(MONTH(Tabla11[[#This Row],[Fecha final]]),Tabla20[#All],6,FALSE)</f>
        <v>690</v>
      </c>
      <c r="M17" s="16">
        <f>Tabla11[[#This Row],[P3 + P6]]*VLOOKUP(MONTH(Tabla11[[#This Row],[Fecha final]]),Tabla20[#All],7,FALSE)</f>
        <v>313</v>
      </c>
      <c r="N17" s="16">
        <f>YEAR(Tabla11[[#This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42</v>
      </c>
      <c r="E18" s="16">
        <v>196</v>
      </c>
      <c r="F18" s="16">
        <v>494</v>
      </c>
      <c r="G18" s="16">
        <v>222</v>
      </c>
      <c r="H18" s="16">
        <f>Tabla11[[#This Row],[P1 + P4]]*VLOOKUP(MONTH(Tabla11[[#This Row],[Fecha final]]),Tabla20[#All],2,FALSE)</f>
        <v>0</v>
      </c>
      <c r="I18" s="16">
        <f>Tabla11[[#This Row],[P2 + P5]]*VLOOKUP(MONTH(Tabla11[[#This Row],[Fecha final]]),Tabla20[#All],3,FALSE)</f>
        <v>0</v>
      </c>
      <c r="J18" s="16">
        <f>(Tabla11[[#This Row],[P3 + P6]])*VLOOKUP(MONTH(Tabla11[[#This Row],[Fecha final]]),Tabla20[#All],4,FALSE)</f>
        <v>0</v>
      </c>
      <c r="K18" s="16">
        <f>Tabla11[[#This Row],[P1 + P4]]*VLOOKUP(MONTH(Tabla11[[#This Row],[Fecha final]]),Tabla20[#All],5,FALSE)</f>
        <v>196</v>
      </c>
      <c r="L18" s="16">
        <f>Tabla11[[#This Row],[P2 + P5]]*VLOOKUP(MONTH(Tabla11[[#This Row],[Fecha final]]),Tabla20[#All],6,FALSE)</f>
        <v>494</v>
      </c>
      <c r="M18" s="16">
        <f>Tabla11[[#This Row],[P3 + P6]]*VLOOKUP(MONTH(Tabla11[[#This Row],[Fecha final]]),Tabla20[#All],7,FALSE)</f>
        <v>222</v>
      </c>
      <c r="N18" s="16">
        <f>YEAR(Tabla11[[#This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42</v>
      </c>
      <c r="E19" s="16">
        <v>159</v>
      </c>
      <c r="F19" s="16">
        <v>0</v>
      </c>
      <c r="G19" s="16">
        <v>566</v>
      </c>
      <c r="H19" s="16">
        <f>Tabla11[[#This Row],[P1 + P4]]*VLOOKUP(MONTH(Tabla11[[#This Row],[Fecha final]]),Tabla20[#All],2,FALSE)</f>
        <v>0</v>
      </c>
      <c r="I19" s="16">
        <f>Tabla11[[#This Row],[P2 + P5]]*VLOOKUP(MONTH(Tabla11[[#This Row],[Fecha final]]),Tabla20[#All],3,FALSE)</f>
        <v>0</v>
      </c>
      <c r="J19" s="16">
        <f>(Tabla11[[#This Row],[P3 + P6]])*VLOOKUP(MONTH(Tabla11[[#This Row],[Fecha final]]),Tabla20[#All],4,FALSE)</f>
        <v>197.98679999999999</v>
      </c>
      <c r="K19" s="16">
        <f>Tabla11[[#This Row],[P1 + P4]]*VLOOKUP(MONTH(Tabla11[[#This Row],[Fecha final]]),Tabla20[#All],5,FALSE)</f>
        <v>159</v>
      </c>
      <c r="L19" s="16">
        <f>Tabla11[[#This Row],[P2 + P5]]*VLOOKUP(MONTH(Tabla11[[#This Row],[Fecha final]]),Tabla20[#All],6,FALSE)</f>
        <v>0</v>
      </c>
      <c r="M19" s="16">
        <f>Tabla11[[#This Row],[P3 + P6]]*VLOOKUP(MONTH(Tabla11[[#This Row],[Fecha final]]),Tabla20[#All],7,FALSE)</f>
        <v>368.01319999999998</v>
      </c>
      <c r="N19" s="16">
        <f>YEAR(Tabla11[[#This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42</v>
      </c>
      <c r="E20" s="16">
        <v>585</v>
      </c>
      <c r="F20" s="16">
        <v>184</v>
      </c>
      <c r="G20" s="16">
        <v>153</v>
      </c>
      <c r="H20" s="16">
        <f>Tabla11[[#This Row],[P1 + P4]]*VLOOKUP(MONTH(Tabla11[[#This Row],[Fecha final]]),Tabla20[#All],2,FALSE)</f>
        <v>585</v>
      </c>
      <c r="I20" s="16">
        <f>Tabla11[[#This Row],[P2 + P5]]*VLOOKUP(MONTH(Tabla11[[#This Row],[Fecha final]]),Tabla20[#All],3,FALSE)</f>
        <v>184</v>
      </c>
      <c r="J20" s="16">
        <f>(Tabla11[[#This Row],[P3 + P6]])*VLOOKUP(MONTH(Tabla11[[#This Row],[Fecha final]]),Tabla20[#All],4,FALSE)</f>
        <v>0</v>
      </c>
      <c r="K20" s="16">
        <f>Tabla11[[#This Row],[P1 + P4]]*VLOOKUP(MONTH(Tabla11[[#This Row],[Fecha final]]),Tabla20[#All],5,FALSE)</f>
        <v>0</v>
      </c>
      <c r="L20" s="16">
        <f>Tabla11[[#This Row],[P2 + P5]]*VLOOKUP(MONTH(Tabla11[[#This Row],[Fecha final]]),Tabla20[#All],6,FALSE)</f>
        <v>0</v>
      </c>
      <c r="M20" s="16">
        <f>Tabla11[[#This Row],[P3 + P6]]*VLOOKUP(MONTH(Tabla11[[#This Row],[Fecha final]]),Tabla20[#All],7,FALSE)</f>
        <v>153</v>
      </c>
      <c r="N20" s="16">
        <f>YEAR(Tabla11[[#This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42</v>
      </c>
      <c r="E21" s="16">
        <v>150</v>
      </c>
      <c r="F21" s="16">
        <v>0</v>
      </c>
      <c r="G21" s="16">
        <v>620</v>
      </c>
      <c r="H21" s="16">
        <f>Tabla11[[#This Row],[P1 + P4]]*VLOOKUP(MONTH(Tabla11[[#This Row],[Fecha final]]),Tabla20[#All],2,FALSE)</f>
        <v>0</v>
      </c>
      <c r="I21" s="16">
        <f>Tabla11[[#This Row],[P2 + P5]]*VLOOKUP(MONTH(Tabla11[[#This Row],[Fecha final]]),Tabla20[#All],3,FALSE)</f>
        <v>0</v>
      </c>
      <c r="J21" s="16">
        <f>(Tabla11[[#This Row],[P3 + P6]])*VLOOKUP(MONTH(Tabla11[[#This Row],[Fecha final]]),Tabla20[#All],4,FALSE)</f>
        <v>208.072</v>
      </c>
      <c r="K21" s="16">
        <f>Tabla11[[#This Row],[P1 + P4]]*VLOOKUP(MONTH(Tabla11[[#This Row],[Fecha final]]),Tabla20[#All],5,FALSE)</f>
        <v>150</v>
      </c>
      <c r="L21" s="16">
        <f>Tabla11[[#This Row],[P2 + P5]]*VLOOKUP(MONTH(Tabla11[[#This Row],[Fecha final]]),Tabla20[#All],6,FALSE)</f>
        <v>0</v>
      </c>
      <c r="M21" s="16">
        <f>Tabla11[[#This Row],[P3 + P6]]*VLOOKUP(MONTH(Tabla11[[#This Row],[Fecha final]]),Tabla20[#All],7,FALSE)</f>
        <v>411.928</v>
      </c>
      <c r="N21" s="16">
        <f>YEAR(Tabla11[[#This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42</v>
      </c>
      <c r="E22" s="16">
        <v>170</v>
      </c>
      <c r="F22" s="16">
        <v>0</v>
      </c>
      <c r="G22" s="16">
        <v>682</v>
      </c>
      <c r="H22" s="16">
        <f>Tabla11[[#This Row],[P1 + P4]]*VLOOKUP(MONTH(Tabla11[[#This Row],[Fecha final]]),Tabla20[#All],2,FALSE)</f>
        <v>0</v>
      </c>
      <c r="I22" s="16">
        <f>Tabla11[[#This Row],[P2 + P5]]*VLOOKUP(MONTH(Tabla11[[#This Row],[Fecha final]]),Tabla20[#All],3,FALSE)</f>
        <v>0</v>
      </c>
      <c r="J22" s="16">
        <f>(Tabla11[[#This Row],[P3 + P6]])*VLOOKUP(MONTH(Tabla11[[#This Row],[Fecha final]]),Tabla20[#All],4,FALSE)</f>
        <v>238.56360000000001</v>
      </c>
      <c r="K22" s="16">
        <f>Tabla11[[#This Row],[P1 + P4]]*VLOOKUP(MONTH(Tabla11[[#This Row],[Fecha final]]),Tabla20[#All],5,FALSE)</f>
        <v>170</v>
      </c>
      <c r="L22" s="16">
        <f>Tabla11[[#This Row],[P2 + P5]]*VLOOKUP(MONTH(Tabla11[[#This Row],[Fecha final]]),Tabla20[#All],6,FALSE)</f>
        <v>0</v>
      </c>
      <c r="M22" s="16">
        <f>Tabla11[[#This Row],[P3 + P6]]*VLOOKUP(MONTH(Tabla11[[#This Row],[Fecha final]]),Tabla20[#All],7,FALSE)</f>
        <v>443.43639999999999</v>
      </c>
      <c r="N22" s="16">
        <f>YEAR(Tabla11[[#This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42</v>
      </c>
      <c r="E23" s="16">
        <v>362</v>
      </c>
      <c r="F23" s="16">
        <v>166</v>
      </c>
      <c r="G23" s="16">
        <v>232</v>
      </c>
      <c r="H23" s="16">
        <f>Tabla11[[#This Row],[P1 + P4]]*VLOOKUP(MONTH(Tabla11[[#This Row],[Fecha final]]),Tabla20[#All],2,FALSE)</f>
        <v>0</v>
      </c>
      <c r="I23" s="16">
        <f>Tabla11[[#This Row],[P2 + P5]]*VLOOKUP(MONTH(Tabla11[[#This Row],[Fecha final]]),Tabla20[#All],3,FALSE)</f>
        <v>0</v>
      </c>
      <c r="J23" s="16">
        <f>(Tabla11[[#This Row],[P3 + P6]])*VLOOKUP(MONTH(Tabla11[[#This Row],[Fecha final]]),Tabla20[#All],4,FALSE)</f>
        <v>0</v>
      </c>
      <c r="K23" s="16">
        <f>Tabla11[[#This Row],[P1 + P4]]*VLOOKUP(MONTH(Tabla11[[#This Row],[Fecha final]]),Tabla20[#All],5,FALSE)</f>
        <v>362</v>
      </c>
      <c r="L23" s="16">
        <f>Tabla11[[#This Row],[P2 + P5]]*VLOOKUP(MONTH(Tabla11[[#This Row],[Fecha final]]),Tabla20[#All],6,FALSE)</f>
        <v>166</v>
      </c>
      <c r="M23" s="16">
        <f>Tabla11[[#This Row],[P3 + P6]]*VLOOKUP(MONTH(Tabla11[[#This Row],[Fecha final]]),Tabla20[#All],7,FALSE)</f>
        <v>232</v>
      </c>
      <c r="N23" s="16">
        <f>YEAR(Tabla11[[#This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868</v>
      </c>
      <c r="G24" s="16">
        <v>634</v>
      </c>
      <c r="H24" s="16">
        <f>Tabla11[[#This Row],[P1 + P4]]*VLOOKUP(MONTH(Tabla11[[#This Row],[Fecha final]]),Tabla20[#All],2,FALSE)</f>
        <v>0</v>
      </c>
      <c r="I24" s="16">
        <f>Tabla11[[#This Row],[P2 + P5]]*VLOOKUP(MONTH(Tabla11[[#This Row],[Fecha final]]),Tabla20[#All],3,FALSE)</f>
        <v>868</v>
      </c>
      <c r="J24" s="16">
        <f>(Tabla11[[#This Row],[P3 + P6]])*VLOOKUP(MONTH(Tabla11[[#This Row],[Fecha final]]),Tabla20[#All],4,FALSE)</f>
        <v>175.49119999999999</v>
      </c>
      <c r="K24" s="16">
        <f>Tabla11[[#This Row],[P1 + P4]]*VLOOKUP(MONTH(Tabla11[[#This Row],[Fecha final]]),Tabla20[#All],5,FALSE)</f>
        <v>0</v>
      </c>
      <c r="L24" s="16">
        <f>Tabla11[[#This Row],[P2 + P5]]*VLOOKUP(MONTH(Tabla11[[#This Row],[Fecha final]]),Tabla20[#All],6,FALSE)</f>
        <v>0</v>
      </c>
      <c r="M24" s="16">
        <f>Tabla11[[#This Row],[P3 + P6]]*VLOOKUP(MONTH(Tabla11[[#This Row],[Fecha final]]),Tabla20[#All],7,FALSE)</f>
        <v>458.50879999999995</v>
      </c>
      <c r="N24" s="16">
        <f>YEAR(Tabla11[[#This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42</v>
      </c>
      <c r="E25" s="16">
        <v>105</v>
      </c>
      <c r="F25" s="16">
        <v>46</v>
      </c>
      <c r="G25" s="16">
        <v>16</v>
      </c>
      <c r="H25" s="16">
        <f>Tabla11[[#This Row],[P1 + P4]]*VLOOKUP(MONTH(Tabla11[[#This Row],[Fecha final]]),Tabla20[#All],2,FALSE)</f>
        <v>105</v>
      </c>
      <c r="I25" s="16">
        <f>Tabla11[[#This Row],[P2 + P5]]*VLOOKUP(MONTH(Tabla11[[#This Row],[Fecha final]]),Tabla20[#All],3,FALSE)</f>
        <v>46</v>
      </c>
      <c r="J25" s="16">
        <f>(Tabla11[[#This Row],[P3 + P6]])*VLOOKUP(MONTH(Tabla11[[#This Row],[Fecha final]]),Tabla20[#All],4,FALSE)</f>
        <v>0</v>
      </c>
      <c r="K25" s="16">
        <f>Tabla11[[#This Row],[P1 + P4]]*VLOOKUP(MONTH(Tabla11[[#This Row],[Fecha final]]),Tabla20[#All],5,FALSE)</f>
        <v>0</v>
      </c>
      <c r="L25" s="16">
        <f>Tabla11[[#This Row],[P2 + P5]]*VLOOKUP(MONTH(Tabla11[[#This Row],[Fecha final]]),Tabla20[#All],6,FALSE)</f>
        <v>0</v>
      </c>
      <c r="M25" s="16">
        <f>Tabla11[[#This Row],[P3 + P6]]*VLOOKUP(MONTH(Tabla11[[#This Row],[Fecha final]]),Tabla20[#All],7,FALSE)</f>
        <v>16</v>
      </c>
      <c r="N25" s="16">
        <f>YEAR(Tabla11[[#This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42</v>
      </c>
      <c r="E26" s="16">
        <v>998</v>
      </c>
      <c r="F26" s="16">
        <v>435</v>
      </c>
      <c r="G26" s="16">
        <v>297</v>
      </c>
      <c r="H26" s="16">
        <f>Tabla11[[#This Row],[P1 + P4]]*VLOOKUP(MONTH(Tabla11[[#This Row],[Fecha final]]),Tabla20[#All],2,FALSE)</f>
        <v>998</v>
      </c>
      <c r="I26" s="16">
        <f>Tabla11[[#This Row],[P2 + P5]]*VLOOKUP(MONTH(Tabla11[[#This Row],[Fecha final]]),Tabla20[#All],3,FALSE)</f>
        <v>435</v>
      </c>
      <c r="J26" s="16">
        <f>(Tabla11[[#This Row],[P3 + P6]])*VLOOKUP(MONTH(Tabla11[[#This Row],[Fecha final]]),Tabla20[#All],4,FALSE)</f>
        <v>0</v>
      </c>
      <c r="K26" s="16">
        <f>Tabla11[[#This Row],[P1 + P4]]*VLOOKUP(MONTH(Tabla11[[#This Row],[Fecha final]]),Tabla20[#All],5,FALSE)</f>
        <v>0</v>
      </c>
      <c r="L26" s="16">
        <f>Tabla11[[#This Row],[P2 + P5]]*VLOOKUP(MONTH(Tabla11[[#This Row],[Fecha final]]),Tabla20[#All],6,FALSE)</f>
        <v>0</v>
      </c>
      <c r="M26" s="16">
        <f>Tabla11[[#This Row],[P3 + P6]]*VLOOKUP(MONTH(Tabla11[[#This Row],[Fecha final]]),Tabla20[#All],7,FALSE)</f>
        <v>297</v>
      </c>
      <c r="N26" s="16">
        <f>YEAR(Tabla11[[#This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1287</v>
      </c>
      <c r="F27" s="16">
        <v>534</v>
      </c>
      <c r="G27" s="16">
        <v>376</v>
      </c>
      <c r="H27" s="16">
        <f>Tabla11[[#This Row],[P1 + P4]]*VLOOKUP(MONTH(Tabla11[[#This Row],[Fecha final]]),Tabla20[#All],2,FALSE)</f>
        <v>1287</v>
      </c>
      <c r="I27" s="16">
        <f>Tabla11[[#This Row],[P2 + P5]]*VLOOKUP(MONTH(Tabla11[[#This Row],[Fecha final]]),Tabla20[#All],3,FALSE)</f>
        <v>534</v>
      </c>
      <c r="J27" s="16">
        <f>(Tabla11[[#This Row],[P3 + P6]])*VLOOKUP(MONTH(Tabla11[[#This Row],[Fecha final]]),Tabla20[#All],4,FALSE)</f>
        <v>0</v>
      </c>
      <c r="K27" s="16">
        <f>Tabla11[[#This Row],[P1 + P4]]*VLOOKUP(MONTH(Tabla11[[#This Row],[Fecha final]]),Tabla20[#All],5,FALSE)</f>
        <v>0</v>
      </c>
      <c r="L27" s="16">
        <f>Tabla11[[#This Row],[P2 + P5]]*VLOOKUP(MONTH(Tabla11[[#This Row],[Fecha final]]),Tabla20[#All],6,FALSE)</f>
        <v>0</v>
      </c>
      <c r="M27" s="16">
        <f>Tabla11[[#This Row],[P3 + P6]]*VLOOKUP(MONTH(Tabla11[[#This Row],[Fecha final]]),Tabla20[#All],7,FALSE)</f>
        <v>376</v>
      </c>
      <c r="N27" s="16">
        <f>YEAR(Tabla11[[#This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1003</v>
      </c>
      <c r="F28" s="16">
        <v>449</v>
      </c>
      <c r="G28" s="16">
        <v>272</v>
      </c>
      <c r="H28" s="16">
        <f>Tabla11[[#This Row],[P1 + P4]]*VLOOKUP(MONTH(Tabla11[[#This Row],[Fecha final]]),Tabla20[#All],2,FALSE)</f>
        <v>1003</v>
      </c>
      <c r="I28" s="16">
        <f>Tabla11[[#This Row],[P2 + P5]]*VLOOKUP(MONTH(Tabla11[[#This Row],[Fecha final]]),Tabla20[#All],3,FALSE)</f>
        <v>449</v>
      </c>
      <c r="J28" s="16">
        <f>(Tabla11[[#This Row],[P3 + P6]])*VLOOKUP(MONTH(Tabla11[[#This Row],[Fecha final]]),Tabla20[#All],4,FALSE)</f>
        <v>0</v>
      </c>
      <c r="K28" s="16">
        <f>Tabla11[[#This Row],[P1 + P4]]*VLOOKUP(MONTH(Tabla11[[#This Row],[Fecha final]]),Tabla20[#All],5,FALSE)</f>
        <v>0</v>
      </c>
      <c r="L28" s="16">
        <f>Tabla11[[#This Row],[P2 + P5]]*VLOOKUP(MONTH(Tabla11[[#This Row],[Fecha final]]),Tabla20[#All],6,FALSE)</f>
        <v>0</v>
      </c>
      <c r="M28" s="16">
        <f>Tabla11[[#This Row],[P3 + P6]]*VLOOKUP(MONTH(Tabla11[[#This Row],[Fecha final]]),Tabla20[#All],7,FALSE)</f>
        <v>272</v>
      </c>
      <c r="N28" s="16">
        <f>YEAR(Tabla11[[#This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956</v>
      </c>
      <c r="G29" s="16">
        <v>703</v>
      </c>
      <c r="H29" s="16">
        <f>Tabla11[[#This Row],[P1 + P4]]*VLOOKUP(MONTH(Tabla11[[#This Row],[Fecha final]]),Tabla20[#All],2,FALSE)</f>
        <v>0</v>
      </c>
      <c r="I29" s="16">
        <f>Tabla11[[#This Row],[P2 + P5]]*VLOOKUP(MONTH(Tabla11[[#This Row],[Fecha final]]),Tabla20[#All],3,FALSE)</f>
        <v>956</v>
      </c>
      <c r="J29" s="16">
        <f>(Tabla11[[#This Row],[P3 + P6]])*VLOOKUP(MONTH(Tabla11[[#This Row],[Fecha final]]),Tabla20[#All],4,FALSE)</f>
        <v>210.7594</v>
      </c>
      <c r="K29" s="16">
        <f>Tabla11[[#This Row],[P1 + P4]]*VLOOKUP(MONTH(Tabla11[[#This Row],[Fecha final]]),Tabla20[#All],5,FALSE)</f>
        <v>0</v>
      </c>
      <c r="L29" s="16">
        <f>Tabla11[[#This Row],[P2 + P5]]*VLOOKUP(MONTH(Tabla11[[#This Row],[Fecha final]]),Tabla20[#All],6,FALSE)</f>
        <v>0</v>
      </c>
      <c r="M29" s="16">
        <f>Tabla11[[#This Row],[P3 + P6]]*VLOOKUP(MONTH(Tabla11[[#This Row],[Fecha final]]),Tabla20[#All],7,FALSE)</f>
        <v>492.24060000000003</v>
      </c>
      <c r="N29" s="16">
        <f>YEAR(Tabla11[[#This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633</v>
      </c>
      <c r="F30" s="16">
        <v>327</v>
      </c>
      <c r="G30" s="16">
        <v>230</v>
      </c>
      <c r="H30" s="16">
        <f>Tabla11[[#This Row],[P1 + P4]]*VLOOKUP(MONTH(Tabla11[[#This Row],[Fecha final]]),Tabla20[#All],2,FALSE)</f>
        <v>0</v>
      </c>
      <c r="I30" s="16">
        <f>Tabla11[[#This Row],[P2 + P5]]*VLOOKUP(MONTH(Tabla11[[#This Row],[Fecha final]]),Tabla20[#All],3,FALSE)</f>
        <v>0</v>
      </c>
      <c r="J30" s="16">
        <f>(Tabla11[[#This Row],[P3 + P6]])*VLOOKUP(MONTH(Tabla11[[#This Row],[Fecha final]]),Tabla20[#All],4,FALSE)</f>
        <v>0</v>
      </c>
      <c r="K30" s="16">
        <f>Tabla11[[#This Row],[P1 + P4]]*VLOOKUP(MONTH(Tabla11[[#This Row],[Fecha final]]),Tabla20[#All],5,FALSE)</f>
        <v>633</v>
      </c>
      <c r="L30" s="16">
        <f>Tabla11[[#This Row],[P2 + P5]]*VLOOKUP(MONTH(Tabla11[[#This Row],[Fecha final]]),Tabla20[#All],6,FALSE)</f>
        <v>327</v>
      </c>
      <c r="M30" s="16">
        <f>Tabla11[[#This Row],[P3 + P6]]*VLOOKUP(MONTH(Tabla11[[#This Row],[Fecha final]]),Tabla20[#All],7,FALSE)</f>
        <v>230</v>
      </c>
      <c r="N30" s="16">
        <f>YEAR(Tabla11[[#This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322</v>
      </c>
      <c r="F31" s="16">
        <v>132</v>
      </c>
      <c r="G31" s="16">
        <v>199</v>
      </c>
      <c r="H31" s="16">
        <f>Tabla11[[#This Row],[P1 + P4]]*VLOOKUP(MONTH(Tabla11[[#This Row],[Fecha final]]),Tabla20[#All],2,FALSE)</f>
        <v>0</v>
      </c>
      <c r="I31" s="16">
        <f>Tabla11[[#This Row],[P2 + P5]]*VLOOKUP(MONTH(Tabla11[[#This Row],[Fecha final]]),Tabla20[#All],3,FALSE)</f>
        <v>0</v>
      </c>
      <c r="J31" s="16">
        <f>(Tabla11[[#This Row],[P3 + P6]])*VLOOKUP(MONTH(Tabla11[[#This Row],[Fecha final]]),Tabla20[#All],4,FALSE)</f>
        <v>0</v>
      </c>
      <c r="K31" s="16">
        <f>Tabla11[[#This Row],[P1 + P4]]*VLOOKUP(MONTH(Tabla11[[#This Row],[Fecha final]]),Tabla20[#All],5,FALSE)</f>
        <v>322</v>
      </c>
      <c r="L31" s="16">
        <f>Tabla11[[#This Row],[P2 + P5]]*VLOOKUP(MONTH(Tabla11[[#This Row],[Fecha final]]),Tabla20[#All],6,FALSE)</f>
        <v>132</v>
      </c>
      <c r="M31" s="16">
        <f>Tabla11[[#This Row],[P3 + P6]]*VLOOKUP(MONTH(Tabla11[[#This Row],[Fecha final]]),Tabla20[#All],7,FALSE)</f>
        <v>199</v>
      </c>
      <c r="N31" s="16">
        <f>YEAR(Tabla11[[#This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153</v>
      </c>
      <c r="F32" s="16">
        <v>0</v>
      </c>
      <c r="G32" s="16">
        <v>710</v>
      </c>
      <c r="H32" s="16">
        <f>Tabla11[[#This Row],[P1 + P4]]*VLOOKUP(MONTH(Tabla11[[#This Row],[Fecha final]]),Tabla20[#All],2,FALSE)</f>
        <v>0</v>
      </c>
      <c r="I32" s="16">
        <f>Tabla11[[#This Row],[P2 + P5]]*VLOOKUP(MONTH(Tabla11[[#This Row],[Fecha final]]),Tabla20[#All],3,FALSE)</f>
        <v>0</v>
      </c>
      <c r="J32" s="16">
        <f>(Tabla11[[#This Row],[P3 + P6]])*VLOOKUP(MONTH(Tabla11[[#This Row],[Fecha final]]),Tabla20[#All],4,FALSE)</f>
        <v>248.358</v>
      </c>
      <c r="K32" s="16">
        <f>Tabla11[[#This Row],[P1 + P4]]*VLOOKUP(MONTH(Tabla11[[#This Row],[Fecha final]]),Tabla20[#All],5,FALSE)</f>
        <v>153</v>
      </c>
      <c r="L32" s="16">
        <f>Tabla11[[#This Row],[P2 + P5]]*VLOOKUP(MONTH(Tabla11[[#This Row],[Fecha final]]),Tabla20[#All],6,FALSE)</f>
        <v>0</v>
      </c>
      <c r="M32" s="16">
        <f>Tabla11[[#This Row],[P3 + P6]]*VLOOKUP(MONTH(Tabla11[[#This Row],[Fecha final]]),Tabla20[#All],7,FALSE)</f>
        <v>461.642</v>
      </c>
      <c r="N32" s="16">
        <f>YEAR(Tabla11[[#This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715</v>
      </c>
      <c r="F33" s="16">
        <v>205</v>
      </c>
      <c r="G33" s="16">
        <v>225</v>
      </c>
      <c r="H33" s="16">
        <f>Tabla11[[#This Row],[P1 + P4]]*VLOOKUP(MONTH(Tabla11[[#This Row],[Fecha final]]),Tabla20[#All],2,FALSE)</f>
        <v>715</v>
      </c>
      <c r="I33" s="16">
        <f>Tabla11[[#This Row],[P2 + P5]]*VLOOKUP(MONTH(Tabla11[[#This Row],[Fecha final]]),Tabla20[#All],3,FALSE)</f>
        <v>205</v>
      </c>
      <c r="J33" s="16">
        <f>(Tabla11[[#This Row],[P3 + P6]])*VLOOKUP(MONTH(Tabla11[[#This Row],[Fecha final]]),Tabla20[#All],4,FALSE)</f>
        <v>0</v>
      </c>
      <c r="K33" s="16">
        <f>Tabla11[[#This Row],[P1 + P4]]*VLOOKUP(MONTH(Tabla11[[#This Row],[Fecha final]]),Tabla20[#All],5,FALSE)</f>
        <v>0</v>
      </c>
      <c r="L33" s="16">
        <f>Tabla11[[#This Row],[P2 + P5]]*VLOOKUP(MONTH(Tabla11[[#This Row],[Fecha final]]),Tabla20[#All],6,FALSE)</f>
        <v>0</v>
      </c>
      <c r="M33" s="16">
        <f>Tabla11[[#This Row],[P3 + P6]]*VLOOKUP(MONTH(Tabla11[[#This Row],[Fecha final]]),Tabla20[#All],7,FALSE)</f>
        <v>225</v>
      </c>
      <c r="N33" s="16">
        <f>YEAR(Tabla11[[#This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176</v>
      </c>
      <c r="F34" s="16">
        <v>0</v>
      </c>
      <c r="G34" s="16">
        <v>801</v>
      </c>
      <c r="H34" s="16">
        <f>Tabla11[[#This Row],[P1 + P4]]*VLOOKUP(MONTH(Tabla11[[#This Row],[Fecha final]]),Tabla20[#All],2,FALSE)</f>
        <v>0</v>
      </c>
      <c r="I34" s="16">
        <f>Tabla11[[#This Row],[P2 + P5]]*VLOOKUP(MONTH(Tabla11[[#This Row],[Fecha final]]),Tabla20[#All],3,FALSE)</f>
        <v>0</v>
      </c>
      <c r="J34" s="16">
        <f>(Tabla11[[#This Row],[P3 + P6]])*VLOOKUP(MONTH(Tabla11[[#This Row],[Fecha final]]),Tabla20[#All],4,FALSE)</f>
        <v>268.81560000000002</v>
      </c>
      <c r="K34" s="16">
        <f>Tabla11[[#This Row],[P1 + P4]]*VLOOKUP(MONTH(Tabla11[[#This Row],[Fecha final]]),Tabla20[#All],5,FALSE)</f>
        <v>176</v>
      </c>
      <c r="L34" s="16">
        <f>Tabla11[[#This Row],[P2 + P5]]*VLOOKUP(MONTH(Tabla11[[#This Row],[Fecha final]]),Tabla20[#All],6,FALSE)</f>
        <v>0</v>
      </c>
      <c r="M34" s="16">
        <f>Tabla11[[#This Row],[P3 + P6]]*VLOOKUP(MONTH(Tabla11[[#This Row],[Fecha final]]),Tabla20[#All],7,FALSE)</f>
        <v>532.18439999999998</v>
      </c>
      <c r="N34" s="16">
        <f>YEAR(Tabla11[[#This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130</v>
      </c>
      <c r="F35" s="16">
        <v>0</v>
      </c>
      <c r="G35" s="16">
        <v>559</v>
      </c>
      <c r="H35" s="16">
        <f>Tabla11[[#This Row],[P1 + P4]]*VLOOKUP(MONTH(Tabla11[[#This Row],[Fecha final]]),Tabla20[#All],2,FALSE)</f>
        <v>0</v>
      </c>
      <c r="I35" s="16">
        <f>Tabla11[[#This Row],[P2 + P5]]*VLOOKUP(MONTH(Tabla11[[#This Row],[Fecha final]]),Tabla20[#All],3,FALSE)</f>
        <v>0</v>
      </c>
      <c r="J35" s="16">
        <f>(Tabla11[[#This Row],[P3 + P6]])*VLOOKUP(MONTH(Tabla11[[#This Row],[Fecha final]]),Tabla20[#All],4,FALSE)</f>
        <v>195.53819999999999</v>
      </c>
      <c r="K35" s="16">
        <f>Tabla11[[#This Row],[P1 + P4]]*VLOOKUP(MONTH(Tabla11[[#This Row],[Fecha final]]),Tabla20[#All],5,FALSE)</f>
        <v>130</v>
      </c>
      <c r="L35" s="16">
        <f>Tabla11[[#This Row],[P2 + P5]]*VLOOKUP(MONTH(Tabla11[[#This Row],[Fecha final]]),Tabla20[#All],6,FALSE)</f>
        <v>0</v>
      </c>
      <c r="M35" s="16">
        <f>Tabla11[[#This Row],[P3 + P6]]*VLOOKUP(MONTH(Tabla11[[#This Row],[Fecha final]]),Tabla20[#All],7,FALSE)</f>
        <v>363.46179999999998</v>
      </c>
      <c r="N35" s="16">
        <f>YEAR(Tabla11[[#This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265</v>
      </c>
      <c r="F36" s="16">
        <v>112</v>
      </c>
      <c r="G36" s="16">
        <v>202</v>
      </c>
      <c r="H36" s="16">
        <f>Tabla11[[#This Row],[P1 + P4]]*VLOOKUP(MONTH(Tabla11[[#This Row],[Fecha final]]),Tabla20[#All],2,FALSE)</f>
        <v>0</v>
      </c>
      <c r="I36" s="16">
        <f>Tabla11[[#This Row],[P2 + P5]]*VLOOKUP(MONTH(Tabla11[[#This Row],[Fecha final]]),Tabla20[#All],3,FALSE)</f>
        <v>0</v>
      </c>
      <c r="J36" s="16">
        <f>(Tabla11[[#This Row],[P3 + P6]])*VLOOKUP(MONTH(Tabla11[[#This Row],[Fecha final]]),Tabla20[#All],4,FALSE)</f>
        <v>0</v>
      </c>
      <c r="K36" s="16">
        <f>Tabla11[[#This Row],[P1 + P4]]*VLOOKUP(MONTH(Tabla11[[#This Row],[Fecha final]]),Tabla20[#All],5,FALSE)</f>
        <v>265</v>
      </c>
      <c r="L36" s="16">
        <f>Tabla11[[#This Row],[P2 + P5]]*VLOOKUP(MONTH(Tabla11[[#This Row],[Fecha final]]),Tabla20[#All],6,FALSE)</f>
        <v>112</v>
      </c>
      <c r="M36" s="16">
        <f>Tabla11[[#This Row],[P3 + P6]]*VLOOKUP(MONTH(Tabla11[[#This Row],[Fecha final]]),Tabla20[#All],7,FALSE)</f>
        <v>202</v>
      </c>
      <c r="N36" s="16">
        <f>YEAR(Tabla11[[#This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519</v>
      </c>
      <c r="G37" s="16">
        <v>405</v>
      </c>
      <c r="H37" s="16">
        <f>Tabla11[[#This Row],[P1 + P4]]*VLOOKUP(MONTH(Tabla11[[#This Row],[Fecha final]]),Tabla20[#All],2,FALSE)</f>
        <v>0</v>
      </c>
      <c r="I37" s="16">
        <f>Tabla11[[#This Row],[P2 + P5]]*VLOOKUP(MONTH(Tabla11[[#This Row],[Fecha final]]),Tabla20[#All],3,FALSE)</f>
        <v>519</v>
      </c>
      <c r="J37" s="16">
        <f>(Tabla11[[#This Row],[P3 + P6]])*VLOOKUP(MONTH(Tabla11[[#This Row],[Fecha final]]),Tabla20[#All],4,FALSE)</f>
        <v>112.104</v>
      </c>
      <c r="K37" s="16">
        <f>Tabla11[[#This Row],[P1 + P4]]*VLOOKUP(MONTH(Tabla11[[#This Row],[Fecha final]]),Tabla20[#All],5,FALSE)</f>
        <v>0</v>
      </c>
      <c r="L37" s="16">
        <f>Tabla11[[#This Row],[P2 + P5]]*VLOOKUP(MONTH(Tabla11[[#This Row],[Fecha final]]),Tabla20[#All],6,FALSE)</f>
        <v>0</v>
      </c>
      <c r="M37" s="16">
        <f>Tabla11[[#This Row],[P3 + P6]]*VLOOKUP(MONTH(Tabla11[[#This Row],[Fecha final]]),Tabla20[#All],7,FALSE)</f>
        <v>292.89599999999996</v>
      </c>
      <c r="N37" s="16">
        <f>YEAR(Tabla11[[#This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729</v>
      </c>
      <c r="F38" s="16">
        <v>286</v>
      </c>
      <c r="G38" s="16">
        <v>289</v>
      </c>
      <c r="H38" s="16">
        <f>Tabla11[[#This Row],[P1 + P4]]*VLOOKUP(MONTH(Tabla11[[#This Row],[Fecha final]]),Tabla20[#All],2,FALSE)</f>
        <v>729</v>
      </c>
      <c r="I38" s="16">
        <f>Tabla11[[#This Row],[P2 + P5]]*VLOOKUP(MONTH(Tabla11[[#This Row],[Fecha final]]),Tabla20[#All],3,FALSE)</f>
        <v>286</v>
      </c>
      <c r="J38" s="16">
        <f>(Tabla11[[#This Row],[P3 + P6]])*VLOOKUP(MONTH(Tabla11[[#This Row],[Fecha final]]),Tabla20[#All],4,FALSE)</f>
        <v>0</v>
      </c>
      <c r="K38" s="16">
        <f>Tabla11[[#This Row],[P1 + P4]]*VLOOKUP(MONTH(Tabla11[[#This Row],[Fecha final]]),Tabla20[#All],5,FALSE)</f>
        <v>0</v>
      </c>
      <c r="L38" s="16">
        <f>Tabla11[[#This Row],[P2 + P5]]*VLOOKUP(MONTH(Tabla11[[#This Row],[Fecha final]]),Tabla20[#All],6,FALSE)</f>
        <v>0</v>
      </c>
      <c r="M38" s="16">
        <f>Tabla11[[#This Row],[P3 + P6]]*VLOOKUP(MONTH(Tabla11[[#This Row],[Fecha final]]),Tabla20[#All],7,FALSE)</f>
        <v>289</v>
      </c>
      <c r="N38" s="16">
        <f>YEAR(Tabla11[[#This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42</v>
      </c>
      <c r="E39" s="16">
        <v>1108</v>
      </c>
      <c r="F39" s="16">
        <v>580</v>
      </c>
      <c r="G39" s="16">
        <v>523</v>
      </c>
      <c r="H39" s="16">
        <f>Tabla11[[#This Row],[P1 + P4]]*VLOOKUP(MONTH(Tabla11[[#This Row],[Fecha final]]),Tabla20[#All],2,FALSE)</f>
        <v>1108</v>
      </c>
      <c r="I39" s="16">
        <f>Tabla11[[#This Row],[P2 + P5]]*VLOOKUP(MONTH(Tabla11[[#This Row],[Fecha final]]),Tabla20[#All],3,FALSE)</f>
        <v>580</v>
      </c>
      <c r="J39" s="16">
        <f>(Tabla11[[#This Row],[P3 + P6]])*VLOOKUP(MONTH(Tabla11[[#This Row],[Fecha final]]),Tabla20[#All],4,FALSE)</f>
        <v>0</v>
      </c>
      <c r="K39" s="16">
        <f>Tabla11[[#This Row],[P1 + P4]]*VLOOKUP(MONTH(Tabla11[[#This Row],[Fecha final]]),Tabla20[#All],5,FALSE)</f>
        <v>0</v>
      </c>
      <c r="L39" s="16">
        <f>Tabla11[[#This Row],[P2 + P5]]*VLOOKUP(MONTH(Tabla11[[#This Row],[Fecha final]]),Tabla20[#All],6,FALSE)</f>
        <v>0</v>
      </c>
      <c r="M39" s="16">
        <f>Tabla11[[#This Row],[P3 + P6]]*VLOOKUP(MONTH(Tabla11[[#This Row],[Fecha final]]),Tabla20[#All],7,FALSE)</f>
        <v>523</v>
      </c>
      <c r="N39" s="16">
        <f>YEAR(Tabla11[[#This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42</v>
      </c>
      <c r="E40" s="16">
        <v>1035</v>
      </c>
      <c r="F40" s="16">
        <v>554</v>
      </c>
      <c r="G40" s="16">
        <v>379</v>
      </c>
      <c r="H40" s="16">
        <f>Tabla11[[#This Row],[P1 + P4]]*VLOOKUP(MONTH(Tabla11[[#This Row],[Fecha final]]),Tabla20[#All],2,FALSE)</f>
        <v>1035</v>
      </c>
      <c r="I40" s="16">
        <f>Tabla11[[#This Row],[P2 + P5]]*VLOOKUP(MONTH(Tabla11[[#This Row],[Fecha final]]),Tabla20[#All],3,FALSE)</f>
        <v>554</v>
      </c>
      <c r="J40" s="16">
        <f>(Tabla11[[#This Row],[P3 + P6]])*VLOOKUP(MONTH(Tabla11[[#This Row],[Fecha final]]),Tabla20[#All],4,FALSE)</f>
        <v>0</v>
      </c>
      <c r="K40" s="16">
        <f>Tabla11[[#This Row],[P1 + P4]]*VLOOKUP(MONTH(Tabla11[[#This Row],[Fecha final]]),Tabla20[#All],5,FALSE)</f>
        <v>0</v>
      </c>
      <c r="L40" s="16">
        <f>Tabla11[[#This Row],[P2 + P5]]*VLOOKUP(MONTH(Tabla11[[#This Row],[Fecha final]]),Tabla20[#All],6,FALSE)</f>
        <v>0</v>
      </c>
      <c r="M40" s="16">
        <f>Tabla11[[#This Row],[P3 + P6]]*VLOOKUP(MONTH(Tabla11[[#This Row],[Fecha final]]),Tabla20[#All],7,FALSE)</f>
        <v>379</v>
      </c>
      <c r="N40" s="16">
        <f>YEAR(Tabla11[[#This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715</v>
      </c>
      <c r="G41" s="16">
        <v>811</v>
      </c>
      <c r="H41" s="16">
        <f>Tabla11[[#This Row],[P1 + P4]]*VLOOKUP(MONTH(Tabla11[[#This Row],[Fecha final]]),Tabla20[#All],2,FALSE)</f>
        <v>0</v>
      </c>
      <c r="I41" s="16">
        <f>Tabla11[[#This Row],[P2 + P5]]*VLOOKUP(MONTH(Tabla11[[#This Row],[Fecha final]]),Tabla20[#All],3,FALSE)</f>
        <v>715</v>
      </c>
      <c r="J41" s="16">
        <f>(Tabla11[[#This Row],[P3 + P6]])*VLOOKUP(MONTH(Tabla11[[#This Row],[Fecha final]]),Tabla20[#All],4,FALSE)</f>
        <v>243.1378</v>
      </c>
      <c r="K41" s="16">
        <f>Tabla11[[#This Row],[P1 + P4]]*VLOOKUP(MONTH(Tabla11[[#This Row],[Fecha final]]),Tabla20[#All],5,FALSE)</f>
        <v>0</v>
      </c>
      <c r="L41" s="16">
        <f>Tabla11[[#This Row],[P2 + P5]]*VLOOKUP(MONTH(Tabla11[[#This Row],[Fecha final]]),Tabla20[#All],6,FALSE)</f>
        <v>0</v>
      </c>
      <c r="M41" s="16">
        <f>Tabla11[[#This Row],[P3 + P6]]*VLOOKUP(MONTH(Tabla11[[#This Row],[Fecha final]]),Tabla20[#All],7,FALSE)</f>
        <v>567.86220000000003</v>
      </c>
      <c r="N41" s="16">
        <f>YEAR(Tabla11[[#This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136</v>
      </c>
      <c r="B71" s="16" t="s">
        <v>50</v>
      </c>
      <c r="C71" s="16">
        <v>25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47</v>
      </c>
      <c r="B72" s="16" t="s">
        <v>136</v>
      </c>
      <c r="C72" s="16">
        <v>36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0</v>
      </c>
      <c r="F73" s="16">
        <v>1</v>
      </c>
      <c r="G73" s="16">
        <v>0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0</v>
      </c>
      <c r="F74" s="16">
        <v>14</v>
      </c>
      <c r="G74" s="16">
        <v>2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0</v>
      </c>
      <c r="F75" s="16">
        <v>5</v>
      </c>
      <c r="G75" s="16">
        <v>3</v>
      </c>
    </row>
    <row r="76" spans="1:7">
      <c r="A76" s="16" t="s">
        <v>129</v>
      </c>
      <c r="B76" s="16" t="s">
        <v>44</v>
      </c>
      <c r="C76" s="16">
        <v>35</v>
      </c>
      <c r="D76" s="16" t="s">
        <v>42</v>
      </c>
      <c r="E76" s="16">
        <v>0</v>
      </c>
      <c r="F76" s="16">
        <v>1</v>
      </c>
      <c r="G76" s="16">
        <v>0</v>
      </c>
    </row>
    <row r="77" spans="1:7">
      <c r="A77" s="16" t="s">
        <v>143</v>
      </c>
      <c r="B77" s="16" t="s">
        <v>129</v>
      </c>
      <c r="C77" s="16">
        <v>49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131</v>
      </c>
      <c r="B78" s="16" t="s">
        <v>143</v>
      </c>
      <c r="C78" s="16">
        <v>14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144</v>
      </c>
      <c r="B79" s="16" t="s">
        <v>131</v>
      </c>
      <c r="C79" s="16">
        <v>14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145</v>
      </c>
      <c r="B80" s="16" t="s">
        <v>144</v>
      </c>
      <c r="C80" s="16">
        <v>34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146</v>
      </c>
      <c r="B81" s="16" t="s">
        <v>145</v>
      </c>
      <c r="C81" s="16">
        <v>29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50</v>
      </c>
      <c r="C87" s="16">
        <v>50</v>
      </c>
      <c r="D87" s="16">
        <v>50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13</v>
      </c>
      <c r="G89" s="16">
        <v>14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17</v>
      </c>
      <c r="F90" s="16">
        <v>16</v>
      </c>
      <c r="G90" s="16">
        <v>13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16</v>
      </c>
      <c r="F91" s="16">
        <v>18</v>
      </c>
      <c r="G91" s="16">
        <v>15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13</v>
      </c>
      <c r="F92" s="16">
        <v>13</v>
      </c>
      <c r="G92" s="16">
        <v>10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12</v>
      </c>
      <c r="G93" s="16">
        <v>12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3</v>
      </c>
      <c r="F94" s="16">
        <v>3</v>
      </c>
      <c r="G94" s="16">
        <v>2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5</v>
      </c>
      <c r="F95" s="16">
        <v>0</v>
      </c>
      <c r="G95" s="16">
        <v>6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9</v>
      </c>
      <c r="F96" s="16">
        <v>0</v>
      </c>
      <c r="G96" s="16">
        <v>12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9</v>
      </c>
      <c r="F97" s="16">
        <v>9</v>
      </c>
      <c r="G97" s="16">
        <v>4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6</v>
      </c>
      <c r="F98" s="16">
        <v>0</v>
      </c>
      <c r="G98" s="16">
        <v>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7</v>
      </c>
      <c r="F99" s="16">
        <v>3</v>
      </c>
      <c r="G99" s="16">
        <v>4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13</v>
      </c>
      <c r="F100" s="16">
        <v>12</v>
      </c>
      <c r="G100" s="16">
        <v>7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11</v>
      </c>
      <c r="G101" s="16">
        <v>11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15</v>
      </c>
      <c r="F102" s="16">
        <v>13</v>
      </c>
      <c r="G102" s="16">
        <v>8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18</v>
      </c>
      <c r="F103" s="16">
        <v>18</v>
      </c>
      <c r="G103" s="16">
        <v>9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17</v>
      </c>
      <c r="F104" s="16">
        <v>15</v>
      </c>
      <c r="G104" s="16">
        <v>8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11</v>
      </c>
      <c r="F105" s="16">
        <v>10</v>
      </c>
      <c r="G105" s="16">
        <v>5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15</v>
      </c>
      <c r="G106" s="16">
        <v>14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8</v>
      </c>
      <c r="F107" s="16">
        <v>7</v>
      </c>
      <c r="G107" s="16">
        <v>2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42.5</v>
      </c>
      <c r="F108" s="16">
        <v>0</v>
      </c>
      <c r="G108" s="16">
        <v>42.5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42.5</v>
      </c>
      <c r="F109" s="16">
        <v>0</v>
      </c>
      <c r="G109" s="16">
        <v>42.5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8</v>
      </c>
      <c r="F110" s="16">
        <v>8</v>
      </c>
      <c r="G110" s="16">
        <v>1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6</v>
      </c>
      <c r="F111" s="16">
        <v>0</v>
      </c>
      <c r="G111" s="16">
        <v>7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1</v>
      </c>
      <c r="F112" s="16">
        <v>1</v>
      </c>
      <c r="G112" s="16">
        <v>0</v>
      </c>
    </row>
    <row r="113" spans="1:7">
      <c r="A113" s="16" t="s">
        <v>136</v>
      </c>
      <c r="B113" s="16" t="s">
        <v>50</v>
      </c>
      <c r="C113" s="16">
        <v>25</v>
      </c>
      <c r="D113" s="16" t="s">
        <v>42</v>
      </c>
      <c r="E113" s="16">
        <v>2</v>
      </c>
      <c r="F113" s="16">
        <v>2</v>
      </c>
      <c r="G113" s="16">
        <v>1</v>
      </c>
    </row>
    <row r="114" spans="1:7">
      <c r="A114" s="16" t="s">
        <v>47</v>
      </c>
      <c r="B114" s="16" t="s">
        <v>136</v>
      </c>
      <c r="C114" s="16">
        <v>36</v>
      </c>
      <c r="D114" s="16" t="s">
        <v>42</v>
      </c>
      <c r="E114" s="16">
        <v>8</v>
      </c>
      <c r="F114" s="16">
        <v>11</v>
      </c>
      <c r="G114" s="16">
        <v>8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6</v>
      </c>
      <c r="F115" s="16">
        <v>13</v>
      </c>
      <c r="G115" s="16">
        <v>8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6</v>
      </c>
      <c r="F116" s="16">
        <v>19</v>
      </c>
      <c r="G116" s="16">
        <v>12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7</v>
      </c>
      <c r="F117" s="16">
        <v>14</v>
      </c>
      <c r="G117" s="16">
        <v>9</v>
      </c>
    </row>
    <row r="118" spans="1:7">
      <c r="A118" s="16" t="s">
        <v>129</v>
      </c>
      <c r="B118" s="16" t="s">
        <v>44</v>
      </c>
      <c r="C118" s="16">
        <v>35</v>
      </c>
      <c r="D118" s="16" t="s">
        <v>42</v>
      </c>
      <c r="E118" s="16">
        <v>5</v>
      </c>
      <c r="F118" s="16">
        <v>13</v>
      </c>
      <c r="G118" s="16">
        <v>8</v>
      </c>
    </row>
    <row r="119" spans="1:7">
      <c r="A119" s="16" t="s">
        <v>143</v>
      </c>
      <c r="B119" s="16" t="s">
        <v>129</v>
      </c>
      <c r="C119" s="16">
        <v>49</v>
      </c>
      <c r="D119" s="16" t="s">
        <v>42</v>
      </c>
      <c r="E119" s="16">
        <v>8</v>
      </c>
      <c r="F119" s="16">
        <v>10</v>
      </c>
      <c r="G119" s="16">
        <v>6</v>
      </c>
    </row>
    <row r="120" spans="1:7">
      <c r="A120" s="16" t="s">
        <v>131</v>
      </c>
      <c r="B120" s="16" t="s">
        <v>143</v>
      </c>
      <c r="C120" s="16">
        <v>14</v>
      </c>
      <c r="D120" s="16" t="s">
        <v>42</v>
      </c>
      <c r="E120" s="16">
        <v>42</v>
      </c>
      <c r="F120" s="16">
        <v>42</v>
      </c>
      <c r="G120" s="16">
        <v>42</v>
      </c>
    </row>
    <row r="121" spans="1:7">
      <c r="A121" s="16" t="s">
        <v>144</v>
      </c>
      <c r="B121" s="16" t="s">
        <v>131</v>
      </c>
      <c r="C121" s="16">
        <v>14</v>
      </c>
      <c r="D121" s="16" t="s">
        <v>42</v>
      </c>
      <c r="E121" s="16">
        <v>42</v>
      </c>
      <c r="F121" s="16">
        <v>0</v>
      </c>
      <c r="G121" s="16">
        <v>0</v>
      </c>
    </row>
    <row r="122" spans="1:7">
      <c r="A122" s="16" t="s">
        <v>145</v>
      </c>
      <c r="B122" s="16" t="s">
        <v>144</v>
      </c>
      <c r="C122" s="16">
        <v>34</v>
      </c>
      <c r="D122" s="16" t="s">
        <v>42</v>
      </c>
      <c r="E122" s="16">
        <v>42</v>
      </c>
      <c r="F122" s="16">
        <v>42</v>
      </c>
      <c r="G122" s="16">
        <v>42</v>
      </c>
    </row>
    <row r="123" spans="1:7">
      <c r="A123" s="16" t="s">
        <v>146</v>
      </c>
      <c r="B123" s="16" t="s">
        <v>145</v>
      </c>
      <c r="C123" s="16">
        <v>29</v>
      </c>
      <c r="D123" s="16" t="s">
        <v>42</v>
      </c>
      <c r="E123" s="16">
        <v>42</v>
      </c>
      <c r="F123" s="16">
        <v>42</v>
      </c>
      <c r="G123" s="16">
        <v>42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3706-4717-45DC-9AF8-F6C3DA064228}">
  <dimension ref="A1:N129"/>
  <sheetViews>
    <sheetView topLeftCell="A4" workbookViewId="0">
      <selection activeCell="H7" sqref="H7:N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147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22750</v>
      </c>
      <c r="C4" s="16">
        <v>16853</v>
      </c>
      <c r="D4" s="16">
        <v>18381</v>
      </c>
    </row>
    <row r="5" spans="1:14">
      <c r="A5" s="16" t="s">
        <v>36</v>
      </c>
      <c r="B5" s="16">
        <v>39</v>
      </c>
      <c r="C5" s="16">
        <v>29</v>
      </c>
      <c r="D5" s="16">
        <v>32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43982</v>
      </c>
      <c r="B7" s="17">
        <v>44012</v>
      </c>
      <c r="C7" s="16">
        <v>30</v>
      </c>
      <c r="D7" s="16" t="s">
        <v>42</v>
      </c>
      <c r="E7" s="16">
        <v>1002</v>
      </c>
      <c r="F7" s="16">
        <v>2160</v>
      </c>
      <c r="G7" s="16">
        <v>421</v>
      </c>
      <c r="H7" s="16">
        <f>Tabla12[[#This Row],[P1 + P4]]*VLOOKUP(MONTH(Tabla12[[#This Row],[Fecha final]]),Tabla20[#All],2,FALSE)</f>
        <v>0</v>
      </c>
      <c r="I7" s="16">
        <f>Tabla12[[#This Row],[P2 + P5]]*VLOOKUP(MONTH(Tabla12[[#This Row],[Fecha final]]),Tabla20[#All],3,FALSE)</f>
        <v>0</v>
      </c>
      <c r="J7" s="16">
        <f>(Tabla12[[#This Row],[P3 + P6]])*VLOOKUP(MONTH(Tabla12[[#This Row],[Fecha final]]),Tabla20[#All],4,FALSE)</f>
        <v>147.26580000000001</v>
      </c>
      <c r="K7" s="16">
        <f>Tabla12[[#This Row],[P1 + P4]]*VLOOKUP(MONTH(Tabla12[[#This Row],[Fecha final]]),Tabla20[#All],5,FALSE)</f>
        <v>1002</v>
      </c>
      <c r="L7" s="16">
        <f>Tabla12[[#This Row],[P2 + P5]]*VLOOKUP(MONTH(Tabla12[[#This Row],[Fecha final]]),Tabla20[#All],6,FALSE)</f>
        <v>0</v>
      </c>
      <c r="M7" s="16">
        <f>Tabla12[[#This Row],[P3 + P6]]*VLOOKUP(MONTH(Tabla12[[#This Row],[Fecha final]]),Tabla20[#All],7,FALSE)</f>
        <v>273.73419999999999</v>
      </c>
      <c r="N7" s="16">
        <f>YEAR(Tabla12[[#This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42</v>
      </c>
      <c r="E8" s="16">
        <v>1582</v>
      </c>
      <c r="F8" s="16">
        <v>3124</v>
      </c>
      <c r="G8" s="16">
        <v>593</v>
      </c>
      <c r="H8" s="16">
        <f>Tabla12[[#This Row],[P1 + P4]]*VLOOKUP(MONTH(Tabla12[[#This Row],[Fecha final]]),Tabla20[#All],2,FALSE)</f>
        <v>1582</v>
      </c>
      <c r="I8" s="16">
        <f>Tabla12[[#This Row],[P2 + P5]]*VLOOKUP(MONTH(Tabla12[[#This Row],[Fecha final]]),Tabla20[#All],3,FALSE)</f>
        <v>3124</v>
      </c>
      <c r="J8" s="16">
        <f>(Tabla12[[#This Row],[P3 + P6]])*VLOOKUP(MONTH(Tabla12[[#This Row],[Fecha final]]),Tabla20[#All],4,FALSE)</f>
        <v>0</v>
      </c>
      <c r="K8" s="16">
        <f>Tabla12[[#This Row],[P1 + P4]]*VLOOKUP(MONTH(Tabla12[[#This Row],[Fecha final]]),Tabla20[#All],5,FALSE)</f>
        <v>0</v>
      </c>
      <c r="L8" s="16">
        <f>Tabla12[[#This Row],[P2 + P5]]*VLOOKUP(MONTH(Tabla12[[#This Row],[Fecha final]]),Tabla20[#All],6,FALSE)</f>
        <v>0</v>
      </c>
      <c r="M8" s="16">
        <f>Tabla12[[#This Row],[P3 + P6]]*VLOOKUP(MONTH(Tabla12[[#This Row],[Fecha final]]),Tabla20[#All],7,FALSE)</f>
        <v>593</v>
      </c>
      <c r="N8" s="16">
        <f>YEAR(Tabla12[[#This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42</v>
      </c>
      <c r="E9" s="16">
        <v>1466</v>
      </c>
      <c r="F9" s="16">
        <v>2356</v>
      </c>
      <c r="G9" s="16">
        <v>602</v>
      </c>
      <c r="H9" s="16">
        <f>Tabla12[[#This Row],[P1 + P4]]*VLOOKUP(MONTH(Tabla12[[#This Row],[Fecha final]]),Tabla20[#All],2,FALSE)</f>
        <v>0</v>
      </c>
      <c r="I9" s="16">
        <f>Tabla12[[#This Row],[P2 + P5]]*VLOOKUP(MONTH(Tabla12[[#This Row],[Fecha final]]),Tabla20[#All],3,FALSE)</f>
        <v>0</v>
      </c>
      <c r="J9" s="16">
        <f>(Tabla12[[#This Row],[P3 + P6]])*VLOOKUP(MONTH(Tabla12[[#This Row],[Fecha final]]),Tabla20[#All],4,FALSE)</f>
        <v>202.03120000000001</v>
      </c>
      <c r="K9" s="16">
        <f>Tabla12[[#This Row],[P1 + P4]]*VLOOKUP(MONTH(Tabla12[[#This Row],[Fecha final]]),Tabla20[#All],5,FALSE)</f>
        <v>1466</v>
      </c>
      <c r="L9" s="16">
        <f>Tabla12[[#This Row],[P2 + P5]]*VLOOKUP(MONTH(Tabla12[[#This Row],[Fecha final]]),Tabla20[#All],6,FALSE)</f>
        <v>0</v>
      </c>
      <c r="M9" s="16">
        <f>Tabla12[[#This Row],[P3 + P6]]*VLOOKUP(MONTH(Tabla12[[#This Row],[Fecha final]]),Tabla20[#All],7,FALSE)</f>
        <v>399.96879999999999</v>
      </c>
      <c r="N9" s="16">
        <f>YEAR(Tabla12[[#This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42</v>
      </c>
      <c r="E10" s="16">
        <v>1121</v>
      </c>
      <c r="F10" s="16">
        <v>2453</v>
      </c>
      <c r="G10" s="16">
        <v>499</v>
      </c>
      <c r="H10" s="16">
        <f>Tabla12[[#This Row],[P1 + P4]]*VLOOKUP(MONTH(Tabla12[[#This Row],[Fecha final]]),Tabla20[#All],2,FALSE)</f>
        <v>0</v>
      </c>
      <c r="I10" s="16">
        <f>Tabla12[[#This Row],[P2 + P5]]*VLOOKUP(MONTH(Tabla12[[#This Row],[Fecha final]]),Tabla20[#All],3,FALSE)</f>
        <v>0</v>
      </c>
      <c r="J10" s="16">
        <f>(Tabla12[[#This Row],[P3 + P6]])*VLOOKUP(MONTH(Tabla12[[#This Row],[Fecha final]]),Tabla20[#All],4,FALSE)</f>
        <v>174.55019999999999</v>
      </c>
      <c r="K10" s="16">
        <f>Tabla12[[#This Row],[P1 + P4]]*VLOOKUP(MONTH(Tabla12[[#This Row],[Fecha final]]),Tabla20[#All],5,FALSE)</f>
        <v>1121</v>
      </c>
      <c r="L10" s="16">
        <f>Tabla12[[#This Row],[P2 + P5]]*VLOOKUP(MONTH(Tabla12[[#This Row],[Fecha final]]),Tabla20[#All],6,FALSE)</f>
        <v>0</v>
      </c>
      <c r="M10" s="16">
        <f>Tabla12[[#This Row],[P3 + P6]]*VLOOKUP(MONTH(Tabla12[[#This Row],[Fecha final]]),Tabla20[#All],7,FALSE)</f>
        <v>324.44979999999998</v>
      </c>
      <c r="N10" s="16">
        <f>YEAR(Tabla12[[#This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42</v>
      </c>
      <c r="E11" s="16">
        <v>1130</v>
      </c>
      <c r="F11" s="16">
        <v>2865</v>
      </c>
      <c r="G11" s="16">
        <v>750</v>
      </c>
      <c r="H11" s="16">
        <f>Tabla12[[#This Row],[P1 + P4]]*VLOOKUP(MONTH(Tabla12[[#This Row],[Fecha final]]),Tabla20[#All],2,FALSE)</f>
        <v>0</v>
      </c>
      <c r="I11" s="16">
        <f>Tabla12[[#This Row],[P2 + P5]]*VLOOKUP(MONTH(Tabla12[[#This Row],[Fecha final]]),Tabla20[#All],3,FALSE)</f>
        <v>0</v>
      </c>
      <c r="J11" s="16">
        <f>(Tabla12[[#This Row],[P3 + P6]])*VLOOKUP(MONTH(Tabla12[[#This Row],[Fecha final]]),Tabla20[#All],4,FALSE)</f>
        <v>0</v>
      </c>
      <c r="K11" s="16">
        <f>Tabla12[[#This Row],[P1 + P4]]*VLOOKUP(MONTH(Tabla12[[#This Row],[Fecha final]]),Tabla20[#All],5,FALSE)</f>
        <v>1130</v>
      </c>
      <c r="L11" s="16">
        <f>Tabla12[[#This Row],[P2 + P5]]*VLOOKUP(MONTH(Tabla12[[#This Row],[Fecha final]]),Tabla20[#All],6,FALSE)</f>
        <v>2865</v>
      </c>
      <c r="M11" s="16">
        <f>Tabla12[[#This Row],[P3 + P6]]*VLOOKUP(MONTH(Tabla12[[#This Row],[Fecha final]]),Tabla20[#All],7,FALSE)</f>
        <v>750</v>
      </c>
      <c r="N11" s="16">
        <f>YEAR(Tabla12[[#This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42</v>
      </c>
      <c r="E12" s="16">
        <v>885</v>
      </c>
      <c r="F12" s="16">
        <v>4049</v>
      </c>
      <c r="G12" s="16">
        <v>1118</v>
      </c>
      <c r="H12" s="16">
        <f>Tabla12[[#This Row],[P1 + P4]]*VLOOKUP(MONTH(Tabla12[[#This Row],[Fecha final]]),Tabla20[#All],2,FALSE)</f>
        <v>0</v>
      </c>
      <c r="I12" s="16">
        <f>Tabla12[[#This Row],[P2 + P5]]*VLOOKUP(MONTH(Tabla12[[#This Row],[Fecha final]]),Tabla20[#All],3,FALSE)</f>
        <v>4049</v>
      </c>
      <c r="J12" s="16">
        <f>(Tabla12[[#This Row],[P3 + P6]])*VLOOKUP(MONTH(Tabla12[[#This Row],[Fecha final]]),Tabla20[#All],4,FALSE)</f>
        <v>309.4624</v>
      </c>
      <c r="K12" s="16">
        <f>Tabla12[[#This Row],[P1 + P4]]*VLOOKUP(MONTH(Tabla12[[#This Row],[Fecha final]]),Tabla20[#All],5,FALSE)</f>
        <v>0</v>
      </c>
      <c r="L12" s="16">
        <f>Tabla12[[#This Row],[P2 + P5]]*VLOOKUP(MONTH(Tabla12[[#This Row],[Fecha final]]),Tabla20[#All],6,FALSE)</f>
        <v>0</v>
      </c>
      <c r="M12" s="16">
        <f>Tabla12[[#This Row],[P3 + P6]]*VLOOKUP(MONTH(Tabla12[[#This Row],[Fecha final]]),Tabla20[#All],7,FALSE)</f>
        <v>808.5376</v>
      </c>
      <c r="N12" s="16">
        <f>YEAR(Tabla12[[#This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42</v>
      </c>
      <c r="E13" s="16">
        <v>1027</v>
      </c>
      <c r="F13" s="16">
        <v>5532</v>
      </c>
      <c r="G13" s="16">
        <v>1529</v>
      </c>
      <c r="H13" s="16">
        <f>Tabla12[[#This Row],[P1 + P4]]*VLOOKUP(MONTH(Tabla12[[#This Row],[Fecha final]]),Tabla20[#All],2,FALSE)</f>
        <v>1027</v>
      </c>
      <c r="I13" s="16">
        <f>Tabla12[[#This Row],[P2 + P5]]*VLOOKUP(MONTH(Tabla12[[#This Row],[Fecha final]]),Tabla20[#All],3,FALSE)</f>
        <v>5532</v>
      </c>
      <c r="J13" s="16">
        <f>(Tabla12[[#This Row],[P3 + P6]])*VLOOKUP(MONTH(Tabla12[[#This Row],[Fecha final]]),Tabla20[#All],4,FALSE)</f>
        <v>0</v>
      </c>
      <c r="K13" s="16">
        <f>Tabla12[[#This Row],[P1 + P4]]*VLOOKUP(MONTH(Tabla12[[#This Row],[Fecha final]]),Tabla20[#All],5,FALSE)</f>
        <v>0</v>
      </c>
      <c r="L13" s="16">
        <f>Tabla12[[#This Row],[P2 + P5]]*VLOOKUP(MONTH(Tabla12[[#This Row],[Fecha final]]),Tabla20[#All],6,FALSE)</f>
        <v>0</v>
      </c>
      <c r="M13" s="16">
        <f>Tabla12[[#This Row],[P3 + P6]]*VLOOKUP(MONTH(Tabla12[[#This Row],[Fecha final]]),Tabla20[#All],7,FALSE)</f>
        <v>1529</v>
      </c>
      <c r="N13" s="16">
        <f>YEAR(Tabla12[[#This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42</v>
      </c>
      <c r="E14" s="16">
        <v>1223</v>
      </c>
      <c r="F14" s="16">
        <v>6313</v>
      </c>
      <c r="G14" s="16">
        <v>1194</v>
      </c>
      <c r="H14" s="16">
        <f>Tabla12[[#This Row],[P1 + P4]]*VLOOKUP(MONTH(Tabla12[[#This Row],[Fecha final]]),Tabla20[#All],2,FALSE)</f>
        <v>1223</v>
      </c>
      <c r="I14" s="16">
        <f>Tabla12[[#This Row],[P2 + P5]]*VLOOKUP(MONTH(Tabla12[[#This Row],[Fecha final]]),Tabla20[#All],3,FALSE)</f>
        <v>6313</v>
      </c>
      <c r="J14" s="16">
        <f>(Tabla12[[#This Row],[P3 + P6]])*VLOOKUP(MONTH(Tabla12[[#This Row],[Fecha final]]),Tabla20[#All],4,FALSE)</f>
        <v>0</v>
      </c>
      <c r="K14" s="16">
        <f>Tabla12[[#This Row],[P1 + P4]]*VLOOKUP(MONTH(Tabla12[[#This Row],[Fecha final]]),Tabla20[#All],5,FALSE)</f>
        <v>0</v>
      </c>
      <c r="L14" s="16">
        <f>Tabla12[[#This Row],[P2 + P5]]*VLOOKUP(MONTH(Tabla12[[#This Row],[Fecha final]]),Tabla20[#All],6,FALSE)</f>
        <v>0</v>
      </c>
      <c r="M14" s="16">
        <f>Tabla12[[#This Row],[P3 + P6]]*VLOOKUP(MONTH(Tabla12[[#This Row],[Fecha final]]),Tabla20[#All],7,FALSE)</f>
        <v>1194</v>
      </c>
      <c r="N14" s="16">
        <f>YEAR(Tabla12[[#This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42</v>
      </c>
      <c r="E15" s="16">
        <v>786</v>
      </c>
      <c r="F15" s="16">
        <v>4157</v>
      </c>
      <c r="G15" s="16">
        <v>997</v>
      </c>
      <c r="H15" s="16">
        <f>Tabla12[[#This Row],[P1 + P4]]*VLOOKUP(MONTH(Tabla12[[#This Row],[Fecha final]]),Tabla20[#All],2,FALSE)</f>
        <v>786</v>
      </c>
      <c r="I15" s="16">
        <f>Tabla12[[#This Row],[P2 + P5]]*VLOOKUP(MONTH(Tabla12[[#This Row],[Fecha final]]),Tabla20[#All],3,FALSE)</f>
        <v>4157</v>
      </c>
      <c r="J15" s="16">
        <f>(Tabla12[[#This Row],[P3 + P6]])*VLOOKUP(MONTH(Tabla12[[#This Row],[Fecha final]]),Tabla20[#All],4,FALSE)</f>
        <v>0</v>
      </c>
      <c r="K15" s="16">
        <f>Tabla12[[#This Row],[P1 + P4]]*VLOOKUP(MONTH(Tabla12[[#This Row],[Fecha final]]),Tabla20[#All],5,FALSE)</f>
        <v>0</v>
      </c>
      <c r="L15" s="16">
        <f>Tabla12[[#This Row],[P2 + P5]]*VLOOKUP(MONTH(Tabla12[[#This Row],[Fecha final]]),Tabla20[#All],6,FALSE)</f>
        <v>0</v>
      </c>
      <c r="M15" s="16">
        <f>Tabla12[[#This Row],[P3 + P6]]*VLOOKUP(MONTH(Tabla12[[#This Row],[Fecha final]]),Tabla20[#All],7,FALSE)</f>
        <v>997</v>
      </c>
      <c r="N15" s="16">
        <f>YEAR(Tabla12[[#This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42</v>
      </c>
      <c r="E16" s="16">
        <v>994</v>
      </c>
      <c r="F16" s="16">
        <v>4442</v>
      </c>
      <c r="G16" s="16">
        <v>1101</v>
      </c>
      <c r="H16" s="16">
        <f>Tabla12[[#This Row],[P1 + P4]]*VLOOKUP(MONTH(Tabla12[[#This Row],[Fecha final]]),Tabla20[#All],2,FALSE)</f>
        <v>0</v>
      </c>
      <c r="I16" s="16">
        <f>Tabla12[[#This Row],[P2 + P5]]*VLOOKUP(MONTH(Tabla12[[#This Row],[Fecha final]]),Tabla20[#All],3,FALSE)</f>
        <v>4442</v>
      </c>
      <c r="J16" s="16">
        <f>(Tabla12[[#This Row],[P3 + P6]])*VLOOKUP(MONTH(Tabla12[[#This Row],[Fecha final]]),Tabla20[#All],4,FALSE)</f>
        <v>330.07980000000003</v>
      </c>
      <c r="K16" s="16">
        <f>Tabla12[[#This Row],[P1 + P4]]*VLOOKUP(MONTH(Tabla12[[#This Row],[Fecha final]]),Tabla20[#All],5,FALSE)</f>
        <v>0</v>
      </c>
      <c r="L16" s="16">
        <f>Tabla12[[#This Row],[P2 + P5]]*VLOOKUP(MONTH(Tabla12[[#This Row],[Fecha final]]),Tabla20[#All],6,FALSE)</f>
        <v>0</v>
      </c>
      <c r="M16" s="16">
        <f>Tabla12[[#This Row],[P3 + P6]]*VLOOKUP(MONTH(Tabla12[[#This Row],[Fecha final]]),Tabla20[#All],7,FALSE)</f>
        <v>770.92020000000002</v>
      </c>
      <c r="N16" s="16">
        <f>YEAR(Tabla12[[#This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42</v>
      </c>
      <c r="E17" s="16">
        <v>1478</v>
      </c>
      <c r="F17" s="16">
        <v>2910</v>
      </c>
      <c r="G17" s="16">
        <v>911</v>
      </c>
      <c r="H17" s="16">
        <f>Tabla12[[#This Row],[P1 + P4]]*VLOOKUP(MONTH(Tabla12[[#This Row],[Fecha final]]),Tabla20[#All],2,FALSE)</f>
        <v>0</v>
      </c>
      <c r="I17" s="16">
        <f>Tabla12[[#This Row],[P2 + P5]]*VLOOKUP(MONTH(Tabla12[[#This Row],[Fecha final]]),Tabla20[#All],3,FALSE)</f>
        <v>0</v>
      </c>
      <c r="J17" s="16">
        <f>(Tabla12[[#This Row],[P3 + P6]])*VLOOKUP(MONTH(Tabla12[[#This Row],[Fecha final]]),Tabla20[#All],4,FALSE)</f>
        <v>0</v>
      </c>
      <c r="K17" s="16">
        <f>Tabla12[[#This Row],[P1 + P4]]*VLOOKUP(MONTH(Tabla12[[#This Row],[Fecha final]]),Tabla20[#All],5,FALSE)</f>
        <v>1478</v>
      </c>
      <c r="L17" s="16">
        <f>Tabla12[[#This Row],[P2 + P5]]*VLOOKUP(MONTH(Tabla12[[#This Row],[Fecha final]]),Tabla20[#All],6,FALSE)</f>
        <v>2910</v>
      </c>
      <c r="M17" s="16">
        <f>Tabla12[[#This Row],[P3 + P6]]*VLOOKUP(MONTH(Tabla12[[#This Row],[Fecha final]]),Tabla20[#All],7,FALSE)</f>
        <v>911</v>
      </c>
      <c r="N17" s="16">
        <f>YEAR(Tabla12[[#This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42</v>
      </c>
      <c r="E18" s="16">
        <v>1111</v>
      </c>
      <c r="F18" s="16">
        <v>2213</v>
      </c>
      <c r="G18" s="16">
        <v>563</v>
      </c>
      <c r="H18" s="16">
        <f>Tabla12[[#This Row],[P1 + P4]]*VLOOKUP(MONTH(Tabla12[[#This Row],[Fecha final]]),Tabla20[#All],2,FALSE)</f>
        <v>0</v>
      </c>
      <c r="I18" s="16">
        <f>Tabla12[[#This Row],[P2 + P5]]*VLOOKUP(MONTH(Tabla12[[#This Row],[Fecha final]]),Tabla20[#All],3,FALSE)</f>
        <v>0</v>
      </c>
      <c r="J18" s="16">
        <f>(Tabla12[[#This Row],[P3 + P6]])*VLOOKUP(MONTH(Tabla12[[#This Row],[Fecha final]]),Tabla20[#All],4,FALSE)</f>
        <v>0</v>
      </c>
      <c r="K18" s="16">
        <f>Tabla12[[#This Row],[P1 + P4]]*VLOOKUP(MONTH(Tabla12[[#This Row],[Fecha final]]),Tabla20[#All],5,FALSE)</f>
        <v>1111</v>
      </c>
      <c r="L18" s="16">
        <f>Tabla12[[#This Row],[P2 + P5]]*VLOOKUP(MONTH(Tabla12[[#This Row],[Fecha final]]),Tabla20[#All],6,FALSE)</f>
        <v>2213</v>
      </c>
      <c r="M18" s="16">
        <f>Tabla12[[#This Row],[P3 + P6]]*VLOOKUP(MONTH(Tabla12[[#This Row],[Fecha final]]),Tabla20[#All],7,FALSE)</f>
        <v>563</v>
      </c>
      <c r="N18" s="16">
        <f>YEAR(Tabla12[[#This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42</v>
      </c>
      <c r="E19" s="16">
        <v>1284</v>
      </c>
      <c r="F19" s="16">
        <v>0</v>
      </c>
      <c r="G19" s="16">
        <v>2250</v>
      </c>
      <c r="H19" s="16">
        <f>Tabla12[[#This Row],[P1 + P4]]*VLOOKUP(MONTH(Tabla12[[#This Row],[Fecha final]]),Tabla20[#All],2,FALSE)</f>
        <v>0</v>
      </c>
      <c r="I19" s="16">
        <f>Tabla12[[#This Row],[P2 + P5]]*VLOOKUP(MONTH(Tabla12[[#This Row],[Fecha final]]),Tabla20[#All],3,FALSE)</f>
        <v>0</v>
      </c>
      <c r="J19" s="16">
        <f>(Tabla12[[#This Row],[P3 + P6]])*VLOOKUP(MONTH(Tabla12[[#This Row],[Fecha final]]),Tabla20[#All],4,FALSE)</f>
        <v>787.05</v>
      </c>
      <c r="K19" s="16">
        <f>Tabla12[[#This Row],[P1 + P4]]*VLOOKUP(MONTH(Tabla12[[#This Row],[Fecha final]]),Tabla20[#All],5,FALSE)</f>
        <v>1284</v>
      </c>
      <c r="L19" s="16">
        <f>Tabla12[[#This Row],[P2 + P5]]*VLOOKUP(MONTH(Tabla12[[#This Row],[Fecha final]]),Tabla20[#All],6,FALSE)</f>
        <v>0</v>
      </c>
      <c r="M19" s="16">
        <f>Tabla12[[#This Row],[P3 + P6]]*VLOOKUP(MONTH(Tabla12[[#This Row],[Fecha final]]),Tabla20[#All],7,FALSE)</f>
        <v>1462.95</v>
      </c>
      <c r="N19" s="16">
        <f>YEAR(Tabla12[[#This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42</v>
      </c>
      <c r="E20" s="16">
        <v>2223</v>
      </c>
      <c r="F20" s="16">
        <v>1622</v>
      </c>
      <c r="G20" s="16">
        <v>361</v>
      </c>
      <c r="H20" s="16">
        <f>Tabla12[[#This Row],[P1 + P4]]*VLOOKUP(MONTH(Tabla12[[#This Row],[Fecha final]]),Tabla20[#All],2,FALSE)</f>
        <v>2223</v>
      </c>
      <c r="I20" s="16">
        <f>Tabla12[[#This Row],[P2 + P5]]*VLOOKUP(MONTH(Tabla12[[#This Row],[Fecha final]]),Tabla20[#All],3,FALSE)</f>
        <v>1622</v>
      </c>
      <c r="J20" s="16">
        <f>(Tabla12[[#This Row],[P3 + P6]])*VLOOKUP(MONTH(Tabla12[[#This Row],[Fecha final]]),Tabla20[#All],4,FALSE)</f>
        <v>0</v>
      </c>
      <c r="K20" s="16">
        <f>Tabla12[[#This Row],[P1 + P4]]*VLOOKUP(MONTH(Tabla12[[#This Row],[Fecha final]]),Tabla20[#All],5,FALSE)</f>
        <v>0</v>
      </c>
      <c r="L20" s="16">
        <f>Tabla12[[#This Row],[P2 + P5]]*VLOOKUP(MONTH(Tabla12[[#This Row],[Fecha final]]),Tabla20[#All],6,FALSE)</f>
        <v>0</v>
      </c>
      <c r="M20" s="16">
        <f>Tabla12[[#This Row],[P3 + P6]]*VLOOKUP(MONTH(Tabla12[[#This Row],[Fecha final]]),Tabla20[#All],7,FALSE)</f>
        <v>361</v>
      </c>
      <c r="N20" s="16">
        <f>YEAR(Tabla12[[#This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42</v>
      </c>
      <c r="E21" s="16">
        <v>1146</v>
      </c>
      <c r="F21" s="16">
        <v>0</v>
      </c>
      <c r="G21" s="16">
        <v>2131</v>
      </c>
      <c r="H21" s="16">
        <f>Tabla12[[#This Row],[P1 + P4]]*VLOOKUP(MONTH(Tabla12[[#This Row],[Fecha final]]),Tabla20[#All],2,FALSE)</f>
        <v>0</v>
      </c>
      <c r="I21" s="16">
        <f>Tabla12[[#This Row],[P2 + P5]]*VLOOKUP(MONTH(Tabla12[[#This Row],[Fecha final]]),Tabla20[#All],3,FALSE)</f>
        <v>0</v>
      </c>
      <c r="J21" s="16">
        <f>(Tabla12[[#This Row],[P3 + P6]])*VLOOKUP(MONTH(Tabla12[[#This Row],[Fecha final]]),Tabla20[#All],4,FALSE)</f>
        <v>715.16359999999997</v>
      </c>
      <c r="K21" s="16">
        <f>Tabla12[[#This Row],[P1 + P4]]*VLOOKUP(MONTH(Tabla12[[#This Row],[Fecha final]]),Tabla20[#All],5,FALSE)</f>
        <v>1146</v>
      </c>
      <c r="L21" s="16">
        <f>Tabla12[[#This Row],[P2 + P5]]*VLOOKUP(MONTH(Tabla12[[#This Row],[Fecha final]]),Tabla20[#All],6,FALSE)</f>
        <v>0</v>
      </c>
      <c r="M21" s="16">
        <f>Tabla12[[#This Row],[P3 + P6]]*VLOOKUP(MONTH(Tabla12[[#This Row],[Fecha final]]),Tabla20[#All],7,FALSE)</f>
        <v>1415.8363999999999</v>
      </c>
      <c r="N21" s="16">
        <f>YEAR(Tabla12[[#This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42</v>
      </c>
      <c r="E22" s="16">
        <v>1271</v>
      </c>
      <c r="F22" s="16">
        <v>0</v>
      </c>
      <c r="G22" s="16">
        <v>2232</v>
      </c>
      <c r="H22" s="16">
        <f>Tabla12[[#This Row],[P1 + P4]]*VLOOKUP(MONTH(Tabla12[[#This Row],[Fecha final]]),Tabla20[#All],2,FALSE)</f>
        <v>0</v>
      </c>
      <c r="I22" s="16">
        <f>Tabla12[[#This Row],[P2 + P5]]*VLOOKUP(MONTH(Tabla12[[#This Row],[Fecha final]]),Tabla20[#All],3,FALSE)</f>
        <v>0</v>
      </c>
      <c r="J22" s="16">
        <f>(Tabla12[[#This Row],[P3 + P6]])*VLOOKUP(MONTH(Tabla12[[#This Row],[Fecha final]]),Tabla20[#All],4,FALSE)</f>
        <v>780.75360000000001</v>
      </c>
      <c r="K22" s="16">
        <f>Tabla12[[#This Row],[P1 + P4]]*VLOOKUP(MONTH(Tabla12[[#This Row],[Fecha final]]),Tabla20[#All],5,FALSE)</f>
        <v>1271</v>
      </c>
      <c r="L22" s="16">
        <f>Tabla12[[#This Row],[P2 + P5]]*VLOOKUP(MONTH(Tabla12[[#This Row],[Fecha final]]),Tabla20[#All],6,FALSE)</f>
        <v>0</v>
      </c>
      <c r="M22" s="16">
        <f>Tabla12[[#This Row],[P3 + P6]]*VLOOKUP(MONTH(Tabla12[[#This Row],[Fecha final]]),Tabla20[#All],7,FALSE)</f>
        <v>1451.2464</v>
      </c>
      <c r="N22" s="16">
        <f>YEAR(Tabla12[[#This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42</v>
      </c>
      <c r="E23" s="16">
        <v>1892</v>
      </c>
      <c r="F23" s="16">
        <v>1138</v>
      </c>
      <c r="G23" s="16">
        <v>482</v>
      </c>
      <c r="H23" s="16">
        <f>Tabla12[[#This Row],[P1 + P4]]*VLOOKUP(MONTH(Tabla12[[#This Row],[Fecha final]]),Tabla20[#All],2,FALSE)</f>
        <v>0</v>
      </c>
      <c r="I23" s="16">
        <f>Tabla12[[#This Row],[P2 + P5]]*VLOOKUP(MONTH(Tabla12[[#This Row],[Fecha final]]),Tabla20[#All],3,FALSE)</f>
        <v>0</v>
      </c>
      <c r="J23" s="16">
        <f>(Tabla12[[#This Row],[P3 + P6]])*VLOOKUP(MONTH(Tabla12[[#This Row],[Fecha final]]),Tabla20[#All],4,FALSE)</f>
        <v>0</v>
      </c>
      <c r="K23" s="16">
        <f>Tabla12[[#This Row],[P1 + P4]]*VLOOKUP(MONTH(Tabla12[[#This Row],[Fecha final]]),Tabla20[#All],5,FALSE)</f>
        <v>1892</v>
      </c>
      <c r="L23" s="16">
        <f>Tabla12[[#This Row],[P2 + P5]]*VLOOKUP(MONTH(Tabla12[[#This Row],[Fecha final]]),Tabla20[#All],6,FALSE)</f>
        <v>1138</v>
      </c>
      <c r="M23" s="16">
        <f>Tabla12[[#This Row],[P3 + P6]]*VLOOKUP(MONTH(Tabla12[[#This Row],[Fecha final]]),Tabla20[#All],7,FALSE)</f>
        <v>482</v>
      </c>
      <c r="N23" s="16">
        <f>YEAR(Tabla12[[#This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3542</v>
      </c>
      <c r="G24" s="16">
        <v>3329</v>
      </c>
      <c r="H24" s="16">
        <f>Tabla12[[#This Row],[P1 + P4]]*VLOOKUP(MONTH(Tabla12[[#This Row],[Fecha final]]),Tabla20[#All],2,FALSE)</f>
        <v>0</v>
      </c>
      <c r="I24" s="16">
        <f>Tabla12[[#This Row],[P2 + P5]]*VLOOKUP(MONTH(Tabla12[[#This Row],[Fecha final]]),Tabla20[#All],3,FALSE)</f>
        <v>3542</v>
      </c>
      <c r="J24" s="16">
        <f>(Tabla12[[#This Row],[P3 + P6]])*VLOOKUP(MONTH(Tabla12[[#This Row],[Fecha final]]),Tabla20[#All],4,FALSE)</f>
        <v>921.46719999999993</v>
      </c>
      <c r="K24" s="16">
        <f>Tabla12[[#This Row],[P1 + P4]]*VLOOKUP(MONTH(Tabla12[[#This Row],[Fecha final]]),Tabla20[#All],5,FALSE)</f>
        <v>0</v>
      </c>
      <c r="L24" s="16">
        <f>Tabla12[[#This Row],[P2 + P5]]*VLOOKUP(MONTH(Tabla12[[#This Row],[Fecha final]]),Tabla20[#All],6,FALSE)</f>
        <v>0</v>
      </c>
      <c r="M24" s="16">
        <f>Tabla12[[#This Row],[P3 + P6]]*VLOOKUP(MONTH(Tabla12[[#This Row],[Fecha final]]),Tabla20[#All],7,FALSE)</f>
        <v>2407.5328</v>
      </c>
      <c r="N24" s="16">
        <f>YEAR(Tabla12[[#This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42</v>
      </c>
      <c r="E25" s="16">
        <v>393</v>
      </c>
      <c r="F25" s="16">
        <v>242</v>
      </c>
      <c r="G25" s="16">
        <v>119</v>
      </c>
      <c r="H25" s="16">
        <f>Tabla12[[#This Row],[P1 + P4]]*VLOOKUP(MONTH(Tabla12[[#This Row],[Fecha final]]),Tabla20[#All],2,FALSE)</f>
        <v>393</v>
      </c>
      <c r="I25" s="16">
        <f>Tabla12[[#This Row],[P2 + P5]]*VLOOKUP(MONTH(Tabla12[[#This Row],[Fecha final]]),Tabla20[#All],3,FALSE)</f>
        <v>242</v>
      </c>
      <c r="J25" s="16">
        <f>(Tabla12[[#This Row],[P3 + P6]])*VLOOKUP(MONTH(Tabla12[[#This Row],[Fecha final]]),Tabla20[#All],4,FALSE)</f>
        <v>0</v>
      </c>
      <c r="K25" s="16">
        <f>Tabla12[[#This Row],[P1 + P4]]*VLOOKUP(MONTH(Tabla12[[#This Row],[Fecha final]]),Tabla20[#All],5,FALSE)</f>
        <v>0</v>
      </c>
      <c r="L25" s="16">
        <f>Tabla12[[#This Row],[P2 + P5]]*VLOOKUP(MONTH(Tabla12[[#This Row],[Fecha final]]),Tabla20[#All],6,FALSE)</f>
        <v>0</v>
      </c>
      <c r="M25" s="16">
        <f>Tabla12[[#This Row],[P3 + P6]]*VLOOKUP(MONTH(Tabla12[[#This Row],[Fecha final]]),Tabla20[#All],7,FALSE)</f>
        <v>119</v>
      </c>
      <c r="N25" s="16">
        <f>YEAR(Tabla12[[#This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42</v>
      </c>
      <c r="E26" s="16">
        <v>3725</v>
      </c>
      <c r="F26" s="16">
        <v>2256</v>
      </c>
      <c r="G26" s="16">
        <v>1818</v>
      </c>
      <c r="H26" s="16">
        <f>Tabla12[[#This Row],[P1 + P4]]*VLOOKUP(MONTH(Tabla12[[#This Row],[Fecha final]]),Tabla20[#All],2,FALSE)</f>
        <v>3725</v>
      </c>
      <c r="I26" s="16">
        <f>Tabla12[[#This Row],[P2 + P5]]*VLOOKUP(MONTH(Tabla12[[#This Row],[Fecha final]]),Tabla20[#All],3,FALSE)</f>
        <v>2256</v>
      </c>
      <c r="J26" s="16">
        <f>(Tabla12[[#This Row],[P3 + P6]])*VLOOKUP(MONTH(Tabla12[[#This Row],[Fecha final]]),Tabla20[#All],4,FALSE)</f>
        <v>0</v>
      </c>
      <c r="K26" s="16">
        <f>Tabla12[[#This Row],[P1 + P4]]*VLOOKUP(MONTH(Tabla12[[#This Row],[Fecha final]]),Tabla20[#All],5,FALSE)</f>
        <v>0</v>
      </c>
      <c r="L26" s="16">
        <f>Tabla12[[#This Row],[P2 + P5]]*VLOOKUP(MONTH(Tabla12[[#This Row],[Fecha final]]),Tabla20[#All],6,FALSE)</f>
        <v>0</v>
      </c>
      <c r="M26" s="16">
        <f>Tabla12[[#This Row],[P3 + P6]]*VLOOKUP(MONTH(Tabla12[[#This Row],[Fecha final]]),Tabla20[#All],7,FALSE)</f>
        <v>1818</v>
      </c>
      <c r="N26" s="16">
        <f>YEAR(Tabla12[[#This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4780</v>
      </c>
      <c r="F27" s="16">
        <v>2762</v>
      </c>
      <c r="G27" s="16">
        <v>1949</v>
      </c>
      <c r="H27" s="16">
        <f>Tabla12[[#This Row],[P1 + P4]]*VLOOKUP(MONTH(Tabla12[[#This Row],[Fecha final]]),Tabla20[#All],2,FALSE)</f>
        <v>4780</v>
      </c>
      <c r="I27" s="16">
        <f>Tabla12[[#This Row],[P2 + P5]]*VLOOKUP(MONTH(Tabla12[[#This Row],[Fecha final]]),Tabla20[#All],3,FALSE)</f>
        <v>2762</v>
      </c>
      <c r="J27" s="16">
        <f>(Tabla12[[#This Row],[P3 + P6]])*VLOOKUP(MONTH(Tabla12[[#This Row],[Fecha final]]),Tabla20[#All],4,FALSE)</f>
        <v>0</v>
      </c>
      <c r="K27" s="16">
        <f>Tabla12[[#This Row],[P1 + P4]]*VLOOKUP(MONTH(Tabla12[[#This Row],[Fecha final]]),Tabla20[#All],5,FALSE)</f>
        <v>0</v>
      </c>
      <c r="L27" s="16">
        <f>Tabla12[[#This Row],[P2 + P5]]*VLOOKUP(MONTH(Tabla12[[#This Row],[Fecha final]]),Tabla20[#All],6,FALSE)</f>
        <v>0</v>
      </c>
      <c r="M27" s="16">
        <f>Tabla12[[#This Row],[P3 + P6]]*VLOOKUP(MONTH(Tabla12[[#This Row],[Fecha final]]),Tabla20[#All],7,FALSE)</f>
        <v>1949</v>
      </c>
      <c r="N27" s="16">
        <f>YEAR(Tabla12[[#This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3887</v>
      </c>
      <c r="F28" s="16">
        <v>2328</v>
      </c>
      <c r="G28" s="16">
        <v>1474</v>
      </c>
      <c r="H28" s="16">
        <f>Tabla12[[#This Row],[P1 + P4]]*VLOOKUP(MONTH(Tabla12[[#This Row],[Fecha final]]),Tabla20[#All],2,FALSE)</f>
        <v>3887</v>
      </c>
      <c r="I28" s="16">
        <f>Tabla12[[#This Row],[P2 + P5]]*VLOOKUP(MONTH(Tabla12[[#This Row],[Fecha final]]),Tabla20[#All],3,FALSE)</f>
        <v>2328</v>
      </c>
      <c r="J28" s="16">
        <f>(Tabla12[[#This Row],[P3 + P6]])*VLOOKUP(MONTH(Tabla12[[#This Row],[Fecha final]]),Tabla20[#All],4,FALSE)</f>
        <v>0</v>
      </c>
      <c r="K28" s="16">
        <f>Tabla12[[#This Row],[P1 + P4]]*VLOOKUP(MONTH(Tabla12[[#This Row],[Fecha final]]),Tabla20[#All],5,FALSE)</f>
        <v>0</v>
      </c>
      <c r="L28" s="16">
        <f>Tabla12[[#This Row],[P2 + P5]]*VLOOKUP(MONTH(Tabla12[[#This Row],[Fecha final]]),Tabla20[#All],6,FALSE)</f>
        <v>0</v>
      </c>
      <c r="M28" s="16">
        <f>Tabla12[[#This Row],[P3 + P6]]*VLOOKUP(MONTH(Tabla12[[#This Row],[Fecha final]]),Tabla20[#All],7,FALSE)</f>
        <v>1474</v>
      </c>
      <c r="N28" s="16">
        <f>YEAR(Tabla12[[#This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3636</v>
      </c>
      <c r="G29" s="16">
        <v>3567</v>
      </c>
      <c r="H29" s="16">
        <f>Tabla12[[#This Row],[P1 + P4]]*VLOOKUP(MONTH(Tabla12[[#This Row],[Fecha final]]),Tabla20[#All],2,FALSE)</f>
        <v>0</v>
      </c>
      <c r="I29" s="16">
        <f>Tabla12[[#This Row],[P2 + P5]]*VLOOKUP(MONTH(Tabla12[[#This Row],[Fecha final]]),Tabla20[#All],3,FALSE)</f>
        <v>3636</v>
      </c>
      <c r="J29" s="16">
        <f>(Tabla12[[#This Row],[P3 + P6]])*VLOOKUP(MONTH(Tabla12[[#This Row],[Fecha final]]),Tabla20[#All],4,FALSE)</f>
        <v>1069.3866</v>
      </c>
      <c r="K29" s="16">
        <f>Tabla12[[#This Row],[P1 + P4]]*VLOOKUP(MONTH(Tabla12[[#This Row],[Fecha final]]),Tabla20[#All],5,FALSE)</f>
        <v>0</v>
      </c>
      <c r="L29" s="16">
        <f>Tabla12[[#This Row],[P2 + P5]]*VLOOKUP(MONTH(Tabla12[[#This Row],[Fecha final]]),Tabla20[#All],6,FALSE)</f>
        <v>0</v>
      </c>
      <c r="M29" s="16">
        <f>Tabla12[[#This Row],[P3 + P6]]*VLOOKUP(MONTH(Tabla12[[#This Row],[Fecha final]]),Tabla20[#All],7,FALSE)</f>
        <v>2497.6134000000002</v>
      </c>
      <c r="N29" s="16">
        <f>YEAR(Tabla12[[#This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2476</v>
      </c>
      <c r="F30" s="16">
        <v>1604</v>
      </c>
      <c r="G30" s="16">
        <v>1127</v>
      </c>
      <c r="H30" s="16">
        <f>Tabla12[[#This Row],[P1 + P4]]*VLOOKUP(MONTH(Tabla12[[#This Row],[Fecha final]]),Tabla20[#All],2,FALSE)</f>
        <v>0</v>
      </c>
      <c r="I30" s="16">
        <f>Tabla12[[#This Row],[P2 + P5]]*VLOOKUP(MONTH(Tabla12[[#This Row],[Fecha final]]),Tabla20[#All],3,FALSE)</f>
        <v>0</v>
      </c>
      <c r="J30" s="16">
        <f>(Tabla12[[#This Row],[P3 + P6]])*VLOOKUP(MONTH(Tabla12[[#This Row],[Fecha final]]),Tabla20[#All],4,FALSE)</f>
        <v>0</v>
      </c>
      <c r="K30" s="16">
        <f>Tabla12[[#This Row],[P1 + P4]]*VLOOKUP(MONTH(Tabla12[[#This Row],[Fecha final]]),Tabla20[#All],5,FALSE)</f>
        <v>2476</v>
      </c>
      <c r="L30" s="16">
        <f>Tabla12[[#This Row],[P2 + P5]]*VLOOKUP(MONTH(Tabla12[[#This Row],[Fecha final]]),Tabla20[#All],6,FALSE)</f>
        <v>1604</v>
      </c>
      <c r="M30" s="16">
        <f>Tabla12[[#This Row],[P3 + P6]]*VLOOKUP(MONTH(Tabla12[[#This Row],[Fecha final]]),Tabla20[#All],7,FALSE)</f>
        <v>1127</v>
      </c>
      <c r="N30" s="16">
        <f>YEAR(Tabla12[[#This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1682</v>
      </c>
      <c r="F31" s="16">
        <v>1149</v>
      </c>
      <c r="G31" s="16">
        <v>680</v>
      </c>
      <c r="H31" s="16">
        <f>Tabla12[[#This Row],[P1 + P4]]*VLOOKUP(MONTH(Tabla12[[#This Row],[Fecha final]]),Tabla20[#All],2,FALSE)</f>
        <v>0</v>
      </c>
      <c r="I31" s="16">
        <f>Tabla12[[#This Row],[P2 + P5]]*VLOOKUP(MONTH(Tabla12[[#This Row],[Fecha final]]),Tabla20[#All],3,FALSE)</f>
        <v>0</v>
      </c>
      <c r="J31" s="16">
        <f>(Tabla12[[#This Row],[P3 + P6]])*VLOOKUP(MONTH(Tabla12[[#This Row],[Fecha final]]),Tabla20[#All],4,FALSE)</f>
        <v>0</v>
      </c>
      <c r="K31" s="16">
        <f>Tabla12[[#This Row],[P1 + P4]]*VLOOKUP(MONTH(Tabla12[[#This Row],[Fecha final]]),Tabla20[#All],5,FALSE)</f>
        <v>1682</v>
      </c>
      <c r="L31" s="16">
        <f>Tabla12[[#This Row],[P2 + P5]]*VLOOKUP(MONTH(Tabla12[[#This Row],[Fecha final]]),Tabla20[#All],6,FALSE)</f>
        <v>1149</v>
      </c>
      <c r="M31" s="16">
        <f>Tabla12[[#This Row],[P3 + P6]]*VLOOKUP(MONTH(Tabla12[[#This Row],[Fecha final]]),Tabla20[#All],7,FALSE)</f>
        <v>680</v>
      </c>
      <c r="N31" s="16">
        <f>YEAR(Tabla12[[#This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1566</v>
      </c>
      <c r="F32" s="16">
        <v>0</v>
      </c>
      <c r="G32" s="16">
        <v>2588</v>
      </c>
      <c r="H32" s="16">
        <f>Tabla12[[#This Row],[P1 + P4]]*VLOOKUP(MONTH(Tabla12[[#This Row],[Fecha final]]),Tabla20[#All],2,FALSE)</f>
        <v>0</v>
      </c>
      <c r="I32" s="16">
        <f>Tabla12[[#This Row],[P2 + P5]]*VLOOKUP(MONTH(Tabla12[[#This Row],[Fecha final]]),Tabla20[#All],3,FALSE)</f>
        <v>0</v>
      </c>
      <c r="J32" s="16">
        <f>(Tabla12[[#This Row],[P3 + P6]])*VLOOKUP(MONTH(Tabla12[[#This Row],[Fecha final]]),Tabla20[#All],4,FALSE)</f>
        <v>905.28240000000005</v>
      </c>
      <c r="K32" s="16">
        <f>Tabla12[[#This Row],[P1 + P4]]*VLOOKUP(MONTH(Tabla12[[#This Row],[Fecha final]]),Tabla20[#All],5,FALSE)</f>
        <v>1566</v>
      </c>
      <c r="L32" s="16">
        <f>Tabla12[[#This Row],[P2 + P5]]*VLOOKUP(MONTH(Tabla12[[#This Row],[Fecha final]]),Tabla20[#All],6,FALSE)</f>
        <v>0</v>
      </c>
      <c r="M32" s="16">
        <f>Tabla12[[#This Row],[P3 + P6]]*VLOOKUP(MONTH(Tabla12[[#This Row],[Fecha final]]),Tabla20[#All],7,FALSE)</f>
        <v>1682.7175999999999</v>
      </c>
      <c r="N32" s="16">
        <f>YEAR(Tabla12[[#This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2508</v>
      </c>
      <c r="F33" s="16">
        <v>2003</v>
      </c>
      <c r="G33" s="16">
        <v>522</v>
      </c>
      <c r="H33" s="16">
        <f>Tabla12[[#This Row],[P1 + P4]]*VLOOKUP(MONTH(Tabla12[[#This Row],[Fecha final]]),Tabla20[#All],2,FALSE)</f>
        <v>2508</v>
      </c>
      <c r="I33" s="16">
        <f>Tabla12[[#This Row],[P2 + P5]]*VLOOKUP(MONTH(Tabla12[[#This Row],[Fecha final]]),Tabla20[#All],3,FALSE)</f>
        <v>2003</v>
      </c>
      <c r="J33" s="16">
        <f>(Tabla12[[#This Row],[P3 + P6]])*VLOOKUP(MONTH(Tabla12[[#This Row],[Fecha final]]),Tabla20[#All],4,FALSE)</f>
        <v>0</v>
      </c>
      <c r="K33" s="16">
        <f>Tabla12[[#This Row],[P1 + P4]]*VLOOKUP(MONTH(Tabla12[[#This Row],[Fecha final]]),Tabla20[#All],5,FALSE)</f>
        <v>0</v>
      </c>
      <c r="L33" s="16">
        <f>Tabla12[[#This Row],[P2 + P5]]*VLOOKUP(MONTH(Tabla12[[#This Row],[Fecha final]]),Tabla20[#All],6,FALSE)</f>
        <v>0</v>
      </c>
      <c r="M33" s="16">
        <f>Tabla12[[#This Row],[P3 + P6]]*VLOOKUP(MONTH(Tabla12[[#This Row],[Fecha final]]),Tabla20[#All],7,FALSE)</f>
        <v>522</v>
      </c>
      <c r="N33" s="16">
        <f>YEAR(Tabla12[[#This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1476</v>
      </c>
      <c r="F34" s="16">
        <v>0</v>
      </c>
      <c r="G34" s="16">
        <v>2534</v>
      </c>
      <c r="H34" s="16">
        <f>Tabla12[[#This Row],[P1 + P4]]*VLOOKUP(MONTH(Tabla12[[#This Row],[Fecha final]]),Tabla20[#All],2,FALSE)</f>
        <v>0</v>
      </c>
      <c r="I34" s="16">
        <f>Tabla12[[#This Row],[P2 + P5]]*VLOOKUP(MONTH(Tabla12[[#This Row],[Fecha final]]),Tabla20[#All],3,FALSE)</f>
        <v>0</v>
      </c>
      <c r="J34" s="16">
        <f>(Tabla12[[#This Row],[P3 + P6]])*VLOOKUP(MONTH(Tabla12[[#This Row],[Fecha final]]),Tabla20[#All],4,FALSE)</f>
        <v>850.41039999999998</v>
      </c>
      <c r="K34" s="16">
        <f>Tabla12[[#This Row],[P1 + P4]]*VLOOKUP(MONTH(Tabla12[[#This Row],[Fecha final]]),Tabla20[#All],5,FALSE)</f>
        <v>1476</v>
      </c>
      <c r="L34" s="16">
        <f>Tabla12[[#This Row],[P2 + P5]]*VLOOKUP(MONTH(Tabla12[[#This Row],[Fecha final]]),Tabla20[#All],6,FALSE)</f>
        <v>0</v>
      </c>
      <c r="M34" s="16">
        <f>Tabla12[[#This Row],[P3 + P6]]*VLOOKUP(MONTH(Tabla12[[#This Row],[Fecha final]]),Tabla20[#All],7,FALSE)</f>
        <v>1683.5896</v>
      </c>
      <c r="N34" s="16">
        <f>YEAR(Tabla12[[#This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1336</v>
      </c>
      <c r="F35" s="16">
        <v>0</v>
      </c>
      <c r="G35" s="16">
        <v>2314</v>
      </c>
      <c r="H35" s="16">
        <f>Tabla12[[#This Row],[P1 + P4]]*VLOOKUP(MONTH(Tabla12[[#This Row],[Fecha final]]),Tabla20[#All],2,FALSE)</f>
        <v>0</v>
      </c>
      <c r="I35" s="16">
        <f>Tabla12[[#This Row],[P2 + P5]]*VLOOKUP(MONTH(Tabla12[[#This Row],[Fecha final]]),Tabla20[#All],3,FALSE)</f>
        <v>0</v>
      </c>
      <c r="J35" s="16">
        <f>(Tabla12[[#This Row],[P3 + P6]])*VLOOKUP(MONTH(Tabla12[[#This Row],[Fecha final]]),Tabla20[#All],4,FALSE)</f>
        <v>809.43719999999996</v>
      </c>
      <c r="K35" s="16">
        <f>Tabla12[[#This Row],[P1 + P4]]*VLOOKUP(MONTH(Tabla12[[#This Row],[Fecha final]]),Tabla20[#All],5,FALSE)</f>
        <v>1336</v>
      </c>
      <c r="L35" s="16">
        <f>Tabla12[[#This Row],[P2 + P5]]*VLOOKUP(MONTH(Tabla12[[#This Row],[Fecha final]]),Tabla20[#All],6,FALSE)</f>
        <v>0</v>
      </c>
      <c r="M35" s="16">
        <f>Tabla12[[#This Row],[P3 + P6]]*VLOOKUP(MONTH(Tabla12[[#This Row],[Fecha final]]),Tabla20[#All],7,FALSE)</f>
        <v>1504.5627999999999</v>
      </c>
      <c r="N35" s="16">
        <f>YEAR(Tabla12[[#This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1418</v>
      </c>
      <c r="F36" s="16">
        <v>951</v>
      </c>
      <c r="G36" s="16">
        <v>553</v>
      </c>
      <c r="H36" s="16">
        <f>Tabla12[[#This Row],[P1 + P4]]*VLOOKUP(MONTH(Tabla12[[#This Row],[Fecha final]]),Tabla20[#All],2,FALSE)</f>
        <v>0</v>
      </c>
      <c r="I36" s="16">
        <f>Tabla12[[#This Row],[P2 + P5]]*VLOOKUP(MONTH(Tabla12[[#This Row],[Fecha final]]),Tabla20[#All],3,FALSE)</f>
        <v>0</v>
      </c>
      <c r="J36" s="16">
        <f>(Tabla12[[#This Row],[P3 + P6]])*VLOOKUP(MONTH(Tabla12[[#This Row],[Fecha final]]),Tabla20[#All],4,FALSE)</f>
        <v>0</v>
      </c>
      <c r="K36" s="16">
        <f>Tabla12[[#This Row],[P1 + P4]]*VLOOKUP(MONTH(Tabla12[[#This Row],[Fecha final]]),Tabla20[#All],5,FALSE)</f>
        <v>1418</v>
      </c>
      <c r="L36" s="16">
        <f>Tabla12[[#This Row],[P2 + P5]]*VLOOKUP(MONTH(Tabla12[[#This Row],[Fecha final]]),Tabla20[#All],6,FALSE)</f>
        <v>951</v>
      </c>
      <c r="M36" s="16">
        <f>Tabla12[[#This Row],[P3 + P6]]*VLOOKUP(MONTH(Tabla12[[#This Row],[Fecha final]]),Tabla20[#All],7,FALSE)</f>
        <v>553</v>
      </c>
      <c r="N36" s="16">
        <f>YEAR(Tabla12[[#This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2054</v>
      </c>
      <c r="G37" s="16">
        <v>1904</v>
      </c>
      <c r="H37" s="16">
        <f>Tabla12[[#This Row],[P1 + P4]]*VLOOKUP(MONTH(Tabla12[[#This Row],[Fecha final]]),Tabla20[#All],2,FALSE)</f>
        <v>0</v>
      </c>
      <c r="I37" s="16">
        <f>Tabla12[[#This Row],[P2 + P5]]*VLOOKUP(MONTH(Tabla12[[#This Row],[Fecha final]]),Tabla20[#All],3,FALSE)</f>
        <v>2054</v>
      </c>
      <c r="J37" s="16">
        <f>(Tabla12[[#This Row],[P3 + P6]])*VLOOKUP(MONTH(Tabla12[[#This Row],[Fecha final]]),Tabla20[#All],4,FALSE)</f>
        <v>527.02719999999999</v>
      </c>
      <c r="K37" s="16">
        <f>Tabla12[[#This Row],[P1 + P4]]*VLOOKUP(MONTH(Tabla12[[#This Row],[Fecha final]]),Tabla20[#All],5,FALSE)</f>
        <v>0</v>
      </c>
      <c r="L37" s="16">
        <f>Tabla12[[#This Row],[P2 + P5]]*VLOOKUP(MONTH(Tabla12[[#This Row],[Fecha final]]),Tabla20[#All],6,FALSE)</f>
        <v>0</v>
      </c>
      <c r="M37" s="16">
        <f>Tabla12[[#This Row],[P3 + P6]]*VLOOKUP(MONTH(Tabla12[[#This Row],[Fecha final]]),Tabla20[#All],7,FALSE)</f>
        <v>1376.9728</v>
      </c>
      <c r="N37" s="16">
        <f>YEAR(Tabla12[[#This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2592</v>
      </c>
      <c r="F38" s="16">
        <v>1668</v>
      </c>
      <c r="G38" s="16">
        <v>1133</v>
      </c>
      <c r="H38" s="16">
        <f>Tabla12[[#This Row],[P1 + P4]]*VLOOKUP(MONTH(Tabla12[[#This Row],[Fecha final]]),Tabla20[#All],2,FALSE)</f>
        <v>2592</v>
      </c>
      <c r="I38" s="16">
        <f>Tabla12[[#This Row],[P2 + P5]]*VLOOKUP(MONTH(Tabla12[[#This Row],[Fecha final]]),Tabla20[#All],3,FALSE)</f>
        <v>1668</v>
      </c>
      <c r="J38" s="16">
        <f>(Tabla12[[#This Row],[P3 + P6]])*VLOOKUP(MONTH(Tabla12[[#This Row],[Fecha final]]),Tabla20[#All],4,FALSE)</f>
        <v>0</v>
      </c>
      <c r="K38" s="16">
        <f>Tabla12[[#This Row],[P1 + P4]]*VLOOKUP(MONTH(Tabla12[[#This Row],[Fecha final]]),Tabla20[#All],5,FALSE)</f>
        <v>0</v>
      </c>
      <c r="L38" s="16">
        <f>Tabla12[[#This Row],[P2 + P5]]*VLOOKUP(MONTH(Tabla12[[#This Row],[Fecha final]]),Tabla20[#All],6,FALSE)</f>
        <v>0</v>
      </c>
      <c r="M38" s="16">
        <f>Tabla12[[#This Row],[P3 + P6]]*VLOOKUP(MONTH(Tabla12[[#This Row],[Fecha final]]),Tabla20[#All],7,FALSE)</f>
        <v>1133</v>
      </c>
      <c r="N38" s="16">
        <f>YEAR(Tabla12[[#This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3882</v>
      </c>
      <c r="F39" s="16">
        <v>2419</v>
      </c>
      <c r="G39" s="16">
        <v>1435</v>
      </c>
      <c r="H39" s="16">
        <f>Tabla12[[#This Row],[P1 + P4]]*VLOOKUP(MONTH(Tabla12[[#This Row],[Fecha final]]),Tabla20[#All],2,FALSE)</f>
        <v>3882</v>
      </c>
      <c r="I39" s="16">
        <f>Tabla12[[#This Row],[P2 + P5]]*VLOOKUP(MONTH(Tabla12[[#This Row],[Fecha final]]),Tabla20[#All],3,FALSE)</f>
        <v>2419</v>
      </c>
      <c r="J39" s="16">
        <f>(Tabla12[[#This Row],[P3 + P6]])*VLOOKUP(MONTH(Tabla12[[#This Row],[Fecha final]]),Tabla20[#All],4,FALSE)</f>
        <v>0</v>
      </c>
      <c r="K39" s="16">
        <f>Tabla12[[#This Row],[P1 + P4]]*VLOOKUP(MONTH(Tabla12[[#This Row],[Fecha final]]),Tabla20[#All],5,FALSE)</f>
        <v>0</v>
      </c>
      <c r="L39" s="16">
        <f>Tabla12[[#This Row],[P2 + P5]]*VLOOKUP(MONTH(Tabla12[[#This Row],[Fecha final]]),Tabla20[#All],6,FALSE)</f>
        <v>0</v>
      </c>
      <c r="M39" s="16">
        <f>Tabla12[[#This Row],[P3 + P6]]*VLOOKUP(MONTH(Tabla12[[#This Row],[Fecha final]]),Tabla20[#All],7,FALSE)</f>
        <v>1435</v>
      </c>
      <c r="N39" s="16">
        <f>YEAR(Tabla12[[#This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3814</v>
      </c>
      <c r="F40" s="16">
        <v>2304</v>
      </c>
      <c r="G40" s="16">
        <v>1123</v>
      </c>
      <c r="H40" s="16">
        <f>Tabla12[[#This Row],[P1 + P4]]*VLOOKUP(MONTH(Tabla12[[#This Row],[Fecha final]]),Tabla20[#All],2,FALSE)</f>
        <v>3814</v>
      </c>
      <c r="I40" s="16">
        <f>Tabla12[[#This Row],[P2 + P5]]*VLOOKUP(MONTH(Tabla12[[#This Row],[Fecha final]]),Tabla20[#All],3,FALSE)</f>
        <v>2304</v>
      </c>
      <c r="J40" s="16">
        <f>(Tabla12[[#This Row],[P3 + P6]])*VLOOKUP(MONTH(Tabla12[[#This Row],[Fecha final]]),Tabla20[#All],4,FALSE)</f>
        <v>0</v>
      </c>
      <c r="K40" s="16">
        <f>Tabla12[[#This Row],[P1 + P4]]*VLOOKUP(MONTH(Tabla12[[#This Row],[Fecha final]]),Tabla20[#All],5,FALSE)</f>
        <v>0</v>
      </c>
      <c r="L40" s="16">
        <f>Tabla12[[#This Row],[P2 + P5]]*VLOOKUP(MONTH(Tabla12[[#This Row],[Fecha final]]),Tabla20[#All],6,FALSE)</f>
        <v>0</v>
      </c>
      <c r="M40" s="16">
        <f>Tabla12[[#This Row],[P3 + P6]]*VLOOKUP(MONTH(Tabla12[[#This Row],[Fecha final]]),Tabla20[#All],7,FALSE)</f>
        <v>1123</v>
      </c>
      <c r="N40" s="16">
        <f>YEAR(Tabla12[[#This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2701</v>
      </c>
      <c r="G41" s="16">
        <v>2468</v>
      </c>
      <c r="H41" s="16">
        <f>Tabla12[[#This Row],[P1 + P4]]*VLOOKUP(MONTH(Tabla12[[#This Row],[Fecha final]]),Tabla20[#All],2,FALSE)</f>
        <v>0</v>
      </c>
      <c r="I41" s="16">
        <f>Tabla12[[#This Row],[P2 + P5]]*VLOOKUP(MONTH(Tabla12[[#This Row],[Fecha final]]),Tabla20[#All],3,FALSE)</f>
        <v>2701</v>
      </c>
      <c r="J41" s="16">
        <f>(Tabla12[[#This Row],[P3 + P6]])*VLOOKUP(MONTH(Tabla12[[#This Row],[Fecha final]]),Tabla20[#All],4,FALSE)</f>
        <v>739.90640000000008</v>
      </c>
      <c r="K41" s="16">
        <f>Tabla12[[#This Row],[P1 + P4]]*VLOOKUP(MONTH(Tabla12[[#This Row],[Fecha final]]),Tabla20[#All],5,FALSE)</f>
        <v>0</v>
      </c>
      <c r="L41" s="16">
        <f>Tabla12[[#This Row],[P2 + P5]]*VLOOKUP(MONTH(Tabla12[[#This Row],[Fecha final]]),Tabla20[#All],6,FALSE)</f>
        <v>0</v>
      </c>
      <c r="M41" s="16">
        <f>Tabla12[[#This Row],[P3 + P6]]*VLOOKUP(MONTH(Tabla12[[#This Row],[Fecha final]]),Tabla20[#All],7,FALSE)</f>
        <v>1728.0936000000002</v>
      </c>
      <c r="N41" s="16">
        <f>YEAR(Tabla12[[#This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1</v>
      </c>
      <c r="F70" s="16">
        <v>109</v>
      </c>
      <c r="G70" s="16">
        <v>36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17</v>
      </c>
      <c r="F71" s="16">
        <v>165</v>
      </c>
      <c r="G71" s="16">
        <v>57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133</v>
      </c>
      <c r="F72" s="16">
        <v>114</v>
      </c>
      <c r="G72" s="16">
        <v>66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172</v>
      </c>
      <c r="F73" s="16">
        <v>124</v>
      </c>
      <c r="G73" s="16">
        <v>58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233</v>
      </c>
      <c r="F74" s="16">
        <v>297</v>
      </c>
      <c r="G74" s="16">
        <v>70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222</v>
      </c>
      <c r="F75" s="16">
        <v>258</v>
      </c>
      <c r="G75" s="16">
        <v>76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177</v>
      </c>
      <c r="F76" s="16">
        <v>121</v>
      </c>
      <c r="G76" s="16">
        <v>60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45</v>
      </c>
      <c r="F77" s="16">
        <v>161</v>
      </c>
      <c r="G77" s="16">
        <v>47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11</v>
      </c>
      <c r="F78" s="16">
        <v>154</v>
      </c>
      <c r="G78" s="16">
        <v>31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64</v>
      </c>
      <c r="F79" s="16">
        <v>262</v>
      </c>
      <c r="G79" s="16">
        <v>53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59</v>
      </c>
      <c r="F80" s="16">
        <v>190</v>
      </c>
      <c r="G80" s="16">
        <v>47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18</v>
      </c>
      <c r="F81" s="16">
        <v>114</v>
      </c>
      <c r="G81" s="16">
        <v>22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70</v>
      </c>
      <c r="C87" s="16">
        <v>70</v>
      </c>
      <c r="D87" s="16">
        <v>70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40</v>
      </c>
      <c r="G89" s="16">
        <v>48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52</v>
      </c>
      <c r="F90" s="16">
        <v>52</v>
      </c>
      <c r="G90" s="16">
        <v>32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52</v>
      </c>
      <c r="F91" s="16">
        <v>48</v>
      </c>
      <c r="G91" s="16">
        <v>32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36</v>
      </c>
      <c r="F92" s="16">
        <v>40</v>
      </c>
      <c r="G92" s="16">
        <v>28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28</v>
      </c>
      <c r="G93" s="16">
        <v>32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16</v>
      </c>
      <c r="F94" s="16">
        <v>20</v>
      </c>
      <c r="G94" s="16">
        <v>12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28</v>
      </c>
      <c r="F95" s="16">
        <v>0</v>
      </c>
      <c r="G95" s="16">
        <v>20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24</v>
      </c>
      <c r="F96" s="16">
        <v>0</v>
      </c>
      <c r="G96" s="16">
        <v>28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28</v>
      </c>
      <c r="F97" s="16">
        <v>28</v>
      </c>
      <c r="G97" s="16">
        <v>20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24</v>
      </c>
      <c r="F98" s="16">
        <v>0</v>
      </c>
      <c r="G98" s="16">
        <v>24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20</v>
      </c>
      <c r="F99" s="16">
        <v>20</v>
      </c>
      <c r="G99" s="16">
        <v>20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40</v>
      </c>
      <c r="F100" s="16">
        <v>44</v>
      </c>
      <c r="G100" s="16">
        <v>32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40</v>
      </c>
      <c r="G101" s="16">
        <v>36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48</v>
      </c>
      <c r="F102" s="16">
        <v>44</v>
      </c>
      <c r="G102" s="16">
        <v>36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60</v>
      </c>
      <c r="F103" s="16">
        <v>56</v>
      </c>
      <c r="G103" s="16">
        <v>36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52</v>
      </c>
      <c r="F104" s="16">
        <v>52</v>
      </c>
      <c r="G104" s="16">
        <v>36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36</v>
      </c>
      <c r="F105" s="16">
        <v>36</v>
      </c>
      <c r="G105" s="16">
        <v>24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48</v>
      </c>
      <c r="G106" s="16">
        <v>48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24</v>
      </c>
      <c r="F107" s="16">
        <v>24</v>
      </c>
      <c r="G107" s="16">
        <v>16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20</v>
      </c>
      <c r="F108" s="16">
        <v>0</v>
      </c>
      <c r="G108" s="16">
        <v>20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20</v>
      </c>
      <c r="F109" s="16">
        <v>0</v>
      </c>
      <c r="G109" s="16">
        <v>20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24</v>
      </c>
      <c r="F110" s="16">
        <v>24</v>
      </c>
      <c r="G110" s="16">
        <v>8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20</v>
      </c>
      <c r="F111" s="16">
        <v>0</v>
      </c>
      <c r="G111" s="16">
        <v>24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24</v>
      </c>
      <c r="F112" s="16">
        <v>24</v>
      </c>
      <c r="G112" s="16">
        <v>20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24</v>
      </c>
      <c r="F113" s="16">
        <v>27</v>
      </c>
      <c r="G113" s="16">
        <v>24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22</v>
      </c>
      <c r="F114" s="16">
        <v>31</v>
      </c>
      <c r="G114" s="16">
        <v>23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18</v>
      </c>
      <c r="F115" s="16">
        <v>33</v>
      </c>
      <c r="G115" s="16">
        <v>23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22</v>
      </c>
      <c r="F116" s="16">
        <v>41</v>
      </c>
      <c r="G116" s="16">
        <v>36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22</v>
      </c>
      <c r="F117" s="16">
        <v>41</v>
      </c>
      <c r="G117" s="16">
        <v>36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20</v>
      </c>
      <c r="F118" s="16">
        <v>39</v>
      </c>
      <c r="G118" s="16">
        <v>36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23</v>
      </c>
      <c r="F119" s="16">
        <v>28</v>
      </c>
      <c r="G119" s="16">
        <v>18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18</v>
      </c>
      <c r="F120" s="16">
        <v>19</v>
      </c>
      <c r="G120" s="16">
        <v>13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24</v>
      </c>
      <c r="F121" s="16">
        <v>21</v>
      </c>
      <c r="G121" s="16">
        <v>15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24</v>
      </c>
      <c r="F122" s="16">
        <v>21</v>
      </c>
      <c r="G122" s="16">
        <v>14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21</v>
      </c>
      <c r="F123" s="16">
        <v>21</v>
      </c>
      <c r="G123" s="16">
        <v>10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4160-D28E-4199-87A0-7E0E1EECBD58}">
  <dimension ref="A1:N129"/>
  <sheetViews>
    <sheetView workbookViewId="0">
      <selection activeCell="H7" sqref="H7:N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148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3907</v>
      </c>
      <c r="C4" s="16">
        <v>2635</v>
      </c>
      <c r="D4" s="16">
        <v>4290</v>
      </c>
    </row>
    <row r="5" spans="1:14">
      <c r="A5" s="16" t="s">
        <v>36</v>
      </c>
      <c r="B5" s="16">
        <v>36</v>
      </c>
      <c r="C5" s="16">
        <v>24</v>
      </c>
      <c r="D5" s="16">
        <v>40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43982</v>
      </c>
      <c r="B7" s="17">
        <v>44012</v>
      </c>
      <c r="C7" s="16">
        <v>30</v>
      </c>
      <c r="D7" s="16" t="s">
        <v>42</v>
      </c>
      <c r="E7" s="16">
        <v>591</v>
      </c>
      <c r="F7" s="16">
        <v>742</v>
      </c>
      <c r="G7" s="16">
        <v>196</v>
      </c>
      <c r="H7" s="16">
        <f>Tabla14[[#This Row],[P1 + P4]]*VLOOKUP(MONTH(Tabla14[[#This Row],[Fecha final]]),Tabla20[#All],2,FALSE)</f>
        <v>0</v>
      </c>
      <c r="I7" s="16">
        <f>Tabla14[[#This Row],[P2 + P5]]*VLOOKUP(MONTH(Tabla14[[#This Row],[Fecha final]]),Tabla20[#All],3,FALSE)</f>
        <v>0</v>
      </c>
      <c r="J7" s="16">
        <f>(Tabla14[[#This Row],[P3 + P6]])*VLOOKUP(MONTH(Tabla14[[#This Row],[Fecha final]]),Tabla20[#All],4,FALSE)</f>
        <v>68.5608</v>
      </c>
      <c r="K7" s="16">
        <f>Tabla14[[#This Row],[P1 + P4]]*VLOOKUP(MONTH(Tabla14[[#This Row],[Fecha final]]),Tabla20[#All],5,FALSE)</f>
        <v>591</v>
      </c>
      <c r="L7" s="16">
        <f>Tabla14[[#This Row],[P2 + P5]]*VLOOKUP(MONTH(Tabla14[[#This Row],[Fecha final]]),Tabla20[#All],6,FALSE)</f>
        <v>0</v>
      </c>
      <c r="M7" s="16">
        <f>Tabla14[[#This Row],[P3 + P6]]*VLOOKUP(MONTH(Tabla14[[#This Row],[Fecha final]]),Tabla20[#All],7,FALSE)</f>
        <v>127.4392</v>
      </c>
      <c r="N7" s="16">
        <f>YEAR(Tabla14[[#This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42</v>
      </c>
      <c r="E8" s="16">
        <v>956</v>
      </c>
      <c r="F8" s="16">
        <v>1113</v>
      </c>
      <c r="G8" s="16">
        <v>204</v>
      </c>
      <c r="H8" s="16">
        <f>Tabla14[[#This Row],[P1 + P4]]*VLOOKUP(MONTH(Tabla14[[#This Row],[Fecha final]]),Tabla20[#All],2,FALSE)</f>
        <v>956</v>
      </c>
      <c r="I8" s="16">
        <f>Tabla14[[#This Row],[P2 + P5]]*VLOOKUP(MONTH(Tabla14[[#This Row],[Fecha final]]),Tabla20[#All],3,FALSE)</f>
        <v>1113</v>
      </c>
      <c r="J8" s="16">
        <f>(Tabla14[[#This Row],[P3 + P6]])*VLOOKUP(MONTH(Tabla14[[#This Row],[Fecha final]]),Tabla20[#All],4,FALSE)</f>
        <v>0</v>
      </c>
      <c r="K8" s="16">
        <f>Tabla14[[#This Row],[P1 + P4]]*VLOOKUP(MONTH(Tabla14[[#This Row],[Fecha final]]),Tabla20[#All],5,FALSE)</f>
        <v>0</v>
      </c>
      <c r="L8" s="16">
        <f>Tabla14[[#This Row],[P2 + P5]]*VLOOKUP(MONTH(Tabla14[[#This Row],[Fecha final]]),Tabla20[#All],6,FALSE)</f>
        <v>0</v>
      </c>
      <c r="M8" s="16">
        <f>Tabla14[[#This Row],[P3 + P6]]*VLOOKUP(MONTH(Tabla14[[#This Row],[Fecha final]]),Tabla20[#All],7,FALSE)</f>
        <v>204</v>
      </c>
      <c r="N8" s="16">
        <f>YEAR(Tabla14[[#This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42</v>
      </c>
      <c r="E9" s="16">
        <v>601</v>
      </c>
      <c r="F9" s="16">
        <v>760</v>
      </c>
      <c r="G9" s="16">
        <v>228</v>
      </c>
      <c r="H9" s="16">
        <f>Tabla14[[#This Row],[P1 + P4]]*VLOOKUP(MONTH(Tabla14[[#This Row],[Fecha final]]),Tabla20[#All],2,FALSE)</f>
        <v>0</v>
      </c>
      <c r="I9" s="16">
        <f>Tabla14[[#This Row],[P2 + P5]]*VLOOKUP(MONTH(Tabla14[[#This Row],[Fecha final]]),Tabla20[#All],3,FALSE)</f>
        <v>0</v>
      </c>
      <c r="J9" s="16">
        <f>(Tabla14[[#This Row],[P3 + P6]])*VLOOKUP(MONTH(Tabla14[[#This Row],[Fecha final]]),Tabla20[#All],4,FALSE)</f>
        <v>76.516800000000003</v>
      </c>
      <c r="K9" s="16">
        <f>Tabla14[[#This Row],[P1 + P4]]*VLOOKUP(MONTH(Tabla14[[#This Row],[Fecha final]]),Tabla20[#All],5,FALSE)</f>
        <v>601</v>
      </c>
      <c r="L9" s="16">
        <f>Tabla14[[#This Row],[P2 + P5]]*VLOOKUP(MONTH(Tabla14[[#This Row],[Fecha final]]),Tabla20[#All],6,FALSE)</f>
        <v>0</v>
      </c>
      <c r="M9" s="16">
        <f>Tabla14[[#This Row],[P3 + P6]]*VLOOKUP(MONTH(Tabla14[[#This Row],[Fecha final]]),Tabla20[#All],7,FALSE)</f>
        <v>151.48320000000001</v>
      </c>
      <c r="N9" s="16">
        <f>YEAR(Tabla14[[#This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42</v>
      </c>
      <c r="E10" s="16">
        <v>469</v>
      </c>
      <c r="F10" s="16">
        <v>744</v>
      </c>
      <c r="G10" s="16">
        <v>179</v>
      </c>
      <c r="H10" s="16">
        <f>Tabla14[[#This Row],[P1 + P4]]*VLOOKUP(MONTH(Tabla14[[#This Row],[Fecha final]]),Tabla20[#All],2,FALSE)</f>
        <v>0</v>
      </c>
      <c r="I10" s="16">
        <f>Tabla14[[#This Row],[P2 + P5]]*VLOOKUP(MONTH(Tabla14[[#This Row],[Fecha final]]),Tabla20[#All],3,FALSE)</f>
        <v>0</v>
      </c>
      <c r="J10" s="16">
        <f>(Tabla14[[#This Row],[P3 + P6]])*VLOOKUP(MONTH(Tabla14[[#This Row],[Fecha final]]),Tabla20[#All],4,FALSE)</f>
        <v>62.614199999999997</v>
      </c>
      <c r="K10" s="16">
        <f>Tabla14[[#This Row],[P1 + P4]]*VLOOKUP(MONTH(Tabla14[[#This Row],[Fecha final]]),Tabla20[#All],5,FALSE)</f>
        <v>469</v>
      </c>
      <c r="L10" s="16">
        <f>Tabla14[[#This Row],[P2 + P5]]*VLOOKUP(MONTH(Tabla14[[#This Row],[Fecha final]]),Tabla20[#All],6,FALSE)</f>
        <v>0</v>
      </c>
      <c r="M10" s="16">
        <f>Tabla14[[#This Row],[P3 + P6]]*VLOOKUP(MONTH(Tabla14[[#This Row],[Fecha final]]),Tabla20[#All],7,FALSE)</f>
        <v>116.3858</v>
      </c>
      <c r="N10" s="16">
        <f>YEAR(Tabla14[[#This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42</v>
      </c>
      <c r="E11" s="16">
        <v>326</v>
      </c>
      <c r="F11" s="16">
        <v>776</v>
      </c>
      <c r="G11" s="16">
        <v>193</v>
      </c>
      <c r="H11" s="16">
        <f>Tabla14[[#This Row],[P1 + P4]]*VLOOKUP(MONTH(Tabla14[[#This Row],[Fecha final]]),Tabla20[#All],2,FALSE)</f>
        <v>0</v>
      </c>
      <c r="I11" s="16">
        <f>Tabla14[[#This Row],[P2 + P5]]*VLOOKUP(MONTH(Tabla14[[#This Row],[Fecha final]]),Tabla20[#All],3,FALSE)</f>
        <v>0</v>
      </c>
      <c r="J11" s="16">
        <f>(Tabla14[[#This Row],[P3 + P6]])*VLOOKUP(MONTH(Tabla14[[#This Row],[Fecha final]]),Tabla20[#All],4,FALSE)</f>
        <v>0</v>
      </c>
      <c r="K11" s="16">
        <f>Tabla14[[#This Row],[P1 + P4]]*VLOOKUP(MONTH(Tabla14[[#This Row],[Fecha final]]),Tabla20[#All],5,FALSE)</f>
        <v>326</v>
      </c>
      <c r="L11" s="16">
        <f>Tabla14[[#This Row],[P2 + P5]]*VLOOKUP(MONTH(Tabla14[[#This Row],[Fecha final]]),Tabla20[#All],6,FALSE)</f>
        <v>776</v>
      </c>
      <c r="M11" s="16">
        <f>Tabla14[[#This Row],[P3 + P6]]*VLOOKUP(MONTH(Tabla14[[#This Row],[Fecha final]]),Tabla20[#All],7,FALSE)</f>
        <v>193</v>
      </c>
      <c r="N11" s="16">
        <f>YEAR(Tabla14[[#This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42</v>
      </c>
      <c r="E12" s="16">
        <v>196</v>
      </c>
      <c r="F12" s="16">
        <v>1187</v>
      </c>
      <c r="G12" s="16">
        <v>187</v>
      </c>
      <c r="H12" s="16">
        <f>Tabla14[[#This Row],[P1 + P4]]*VLOOKUP(MONTH(Tabla14[[#This Row],[Fecha final]]),Tabla20[#All],2,FALSE)</f>
        <v>0</v>
      </c>
      <c r="I12" s="16">
        <f>Tabla14[[#This Row],[P2 + P5]]*VLOOKUP(MONTH(Tabla14[[#This Row],[Fecha final]]),Tabla20[#All],3,FALSE)</f>
        <v>1187</v>
      </c>
      <c r="J12" s="16">
        <f>(Tabla14[[#This Row],[P3 + P6]])*VLOOKUP(MONTH(Tabla14[[#This Row],[Fecha final]]),Tabla20[#All],4,FALSE)</f>
        <v>51.761600000000001</v>
      </c>
      <c r="K12" s="16">
        <f>Tabla14[[#This Row],[P1 + P4]]*VLOOKUP(MONTH(Tabla14[[#This Row],[Fecha final]]),Tabla20[#All],5,FALSE)</f>
        <v>0</v>
      </c>
      <c r="L12" s="16">
        <f>Tabla14[[#This Row],[P2 + P5]]*VLOOKUP(MONTH(Tabla14[[#This Row],[Fecha final]]),Tabla20[#All],6,FALSE)</f>
        <v>0</v>
      </c>
      <c r="M12" s="16">
        <f>Tabla14[[#This Row],[P3 + P6]]*VLOOKUP(MONTH(Tabla14[[#This Row],[Fecha final]]),Tabla20[#All],7,FALSE)</f>
        <v>135.23839999999998</v>
      </c>
      <c r="N12" s="16">
        <f>YEAR(Tabla14[[#This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42</v>
      </c>
      <c r="E13" s="16">
        <v>249</v>
      </c>
      <c r="F13" s="16">
        <v>1832</v>
      </c>
      <c r="G13" s="16">
        <v>195</v>
      </c>
      <c r="H13" s="16">
        <f>Tabla14[[#This Row],[P1 + P4]]*VLOOKUP(MONTH(Tabla14[[#This Row],[Fecha final]]),Tabla20[#All],2,FALSE)</f>
        <v>249</v>
      </c>
      <c r="I13" s="16">
        <f>Tabla14[[#This Row],[P2 + P5]]*VLOOKUP(MONTH(Tabla14[[#This Row],[Fecha final]]),Tabla20[#All],3,FALSE)</f>
        <v>1832</v>
      </c>
      <c r="J13" s="16">
        <f>(Tabla14[[#This Row],[P3 + P6]])*VLOOKUP(MONTH(Tabla14[[#This Row],[Fecha final]]),Tabla20[#All],4,FALSE)</f>
        <v>0</v>
      </c>
      <c r="K13" s="16">
        <f>Tabla14[[#This Row],[P1 + P4]]*VLOOKUP(MONTH(Tabla14[[#This Row],[Fecha final]]),Tabla20[#All],5,FALSE)</f>
        <v>0</v>
      </c>
      <c r="L13" s="16">
        <f>Tabla14[[#This Row],[P2 + P5]]*VLOOKUP(MONTH(Tabla14[[#This Row],[Fecha final]]),Tabla20[#All],6,FALSE)</f>
        <v>0</v>
      </c>
      <c r="M13" s="16">
        <f>Tabla14[[#This Row],[P3 + P6]]*VLOOKUP(MONTH(Tabla14[[#This Row],[Fecha final]]),Tabla20[#All],7,FALSE)</f>
        <v>195</v>
      </c>
      <c r="N13" s="16">
        <f>YEAR(Tabla14[[#This Row],[Fecha final]])</f>
        <v>2020</v>
      </c>
    </row>
    <row r="14" spans="1:14">
      <c r="A14" s="17">
        <v>44196</v>
      </c>
      <c r="B14" s="17">
        <v>44227</v>
      </c>
      <c r="C14" s="16">
        <v>31</v>
      </c>
      <c r="D14" s="16" t="s">
        <v>42</v>
      </c>
      <c r="E14" s="16">
        <v>241</v>
      </c>
      <c r="F14" s="16">
        <v>1998</v>
      </c>
      <c r="G14" s="16">
        <v>200</v>
      </c>
      <c r="H14" s="16">
        <f>Tabla14[[#This Row],[P1 + P4]]*VLOOKUP(MONTH(Tabla14[[#This Row],[Fecha final]]),Tabla20[#All],2,FALSE)</f>
        <v>241</v>
      </c>
      <c r="I14" s="16">
        <f>Tabla14[[#This Row],[P2 + P5]]*VLOOKUP(MONTH(Tabla14[[#This Row],[Fecha final]]),Tabla20[#All],3,FALSE)</f>
        <v>1998</v>
      </c>
      <c r="J14" s="16">
        <f>(Tabla14[[#This Row],[P3 + P6]])*VLOOKUP(MONTH(Tabla14[[#This Row],[Fecha final]]),Tabla20[#All],4,FALSE)</f>
        <v>0</v>
      </c>
      <c r="K14" s="16">
        <f>Tabla14[[#This Row],[P1 + P4]]*VLOOKUP(MONTH(Tabla14[[#This Row],[Fecha final]]),Tabla20[#All],5,FALSE)</f>
        <v>0</v>
      </c>
      <c r="L14" s="16">
        <f>Tabla14[[#This Row],[P2 + P5]]*VLOOKUP(MONTH(Tabla14[[#This Row],[Fecha final]]),Tabla20[#All],6,FALSE)</f>
        <v>0</v>
      </c>
      <c r="M14" s="16">
        <f>Tabla14[[#This Row],[P3 + P6]]*VLOOKUP(MONTH(Tabla14[[#This Row],[Fecha final]]),Tabla20[#All],7,FALSE)</f>
        <v>200</v>
      </c>
      <c r="N14" s="16">
        <f>YEAR(Tabla14[[#This Row],[Fecha final]])</f>
        <v>2021</v>
      </c>
    </row>
    <row r="15" spans="1:14">
      <c r="A15" s="17">
        <v>44227</v>
      </c>
      <c r="B15" s="17">
        <v>44255</v>
      </c>
      <c r="C15" s="16">
        <v>28</v>
      </c>
      <c r="D15" s="16" t="s">
        <v>42</v>
      </c>
      <c r="E15" s="16">
        <v>231</v>
      </c>
      <c r="F15" s="16">
        <v>1434</v>
      </c>
      <c r="G15" s="16">
        <v>191</v>
      </c>
      <c r="H15" s="16">
        <f>Tabla14[[#This Row],[P1 + P4]]*VLOOKUP(MONTH(Tabla14[[#This Row],[Fecha final]]),Tabla20[#All],2,FALSE)</f>
        <v>231</v>
      </c>
      <c r="I15" s="16">
        <f>Tabla14[[#This Row],[P2 + P5]]*VLOOKUP(MONTH(Tabla14[[#This Row],[Fecha final]]),Tabla20[#All],3,FALSE)</f>
        <v>1434</v>
      </c>
      <c r="J15" s="16">
        <f>(Tabla14[[#This Row],[P3 + P6]])*VLOOKUP(MONTH(Tabla14[[#This Row],[Fecha final]]),Tabla20[#All],4,FALSE)</f>
        <v>0</v>
      </c>
      <c r="K15" s="16">
        <f>Tabla14[[#This Row],[P1 + P4]]*VLOOKUP(MONTH(Tabla14[[#This Row],[Fecha final]]),Tabla20[#All],5,FALSE)</f>
        <v>0</v>
      </c>
      <c r="L15" s="16">
        <f>Tabla14[[#This Row],[P2 + P5]]*VLOOKUP(MONTH(Tabla14[[#This Row],[Fecha final]]),Tabla20[#All],6,FALSE)</f>
        <v>0</v>
      </c>
      <c r="M15" s="16">
        <f>Tabla14[[#This Row],[P3 + P6]]*VLOOKUP(MONTH(Tabla14[[#This Row],[Fecha final]]),Tabla20[#All],7,FALSE)</f>
        <v>191</v>
      </c>
      <c r="N15" s="16">
        <f>YEAR(Tabla14[[#This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42</v>
      </c>
      <c r="E16" s="16">
        <v>272</v>
      </c>
      <c r="F16" s="16">
        <v>1537</v>
      </c>
      <c r="G16" s="16">
        <v>189</v>
      </c>
      <c r="H16" s="16">
        <f>Tabla14[[#This Row],[P1 + P4]]*VLOOKUP(MONTH(Tabla14[[#This Row],[Fecha final]]),Tabla20[#All],2,FALSE)</f>
        <v>0</v>
      </c>
      <c r="I16" s="16">
        <f>Tabla14[[#This Row],[P2 + P5]]*VLOOKUP(MONTH(Tabla14[[#This Row],[Fecha final]]),Tabla20[#All],3,FALSE)</f>
        <v>1537</v>
      </c>
      <c r="J16" s="16">
        <f>(Tabla14[[#This Row],[P3 + P6]])*VLOOKUP(MONTH(Tabla14[[#This Row],[Fecha final]]),Tabla20[#All],4,FALSE)</f>
        <v>56.662199999999999</v>
      </c>
      <c r="K16" s="16">
        <f>Tabla14[[#This Row],[P1 + P4]]*VLOOKUP(MONTH(Tabla14[[#This Row],[Fecha final]]),Tabla20[#All],5,FALSE)</f>
        <v>0</v>
      </c>
      <c r="L16" s="16">
        <f>Tabla14[[#This Row],[P2 + P5]]*VLOOKUP(MONTH(Tabla14[[#This Row],[Fecha final]]),Tabla20[#All],6,FALSE)</f>
        <v>0</v>
      </c>
      <c r="M16" s="16">
        <f>Tabla14[[#This Row],[P3 + P6]]*VLOOKUP(MONTH(Tabla14[[#This Row],[Fecha final]]),Tabla20[#All],7,FALSE)</f>
        <v>132.33780000000002</v>
      </c>
      <c r="N16" s="16">
        <f>YEAR(Tabla14[[#This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42</v>
      </c>
      <c r="E17" s="16">
        <v>417</v>
      </c>
      <c r="F17" s="16">
        <v>878</v>
      </c>
      <c r="G17" s="16">
        <v>170</v>
      </c>
      <c r="H17" s="16">
        <f>Tabla14[[#This Row],[P1 + P4]]*VLOOKUP(MONTH(Tabla14[[#This Row],[Fecha final]]),Tabla20[#All],2,FALSE)</f>
        <v>0</v>
      </c>
      <c r="I17" s="16">
        <f>Tabla14[[#This Row],[P2 + P5]]*VLOOKUP(MONTH(Tabla14[[#This Row],[Fecha final]]),Tabla20[#All],3,FALSE)</f>
        <v>0</v>
      </c>
      <c r="J17" s="16">
        <f>(Tabla14[[#This Row],[P3 + P6]])*VLOOKUP(MONTH(Tabla14[[#This Row],[Fecha final]]),Tabla20[#All],4,FALSE)</f>
        <v>0</v>
      </c>
      <c r="K17" s="16">
        <f>Tabla14[[#This Row],[P1 + P4]]*VLOOKUP(MONTH(Tabla14[[#This Row],[Fecha final]]),Tabla20[#All],5,FALSE)</f>
        <v>417</v>
      </c>
      <c r="L17" s="16">
        <f>Tabla14[[#This Row],[P2 + P5]]*VLOOKUP(MONTH(Tabla14[[#This Row],[Fecha final]]),Tabla20[#All],6,FALSE)</f>
        <v>878</v>
      </c>
      <c r="M17" s="16">
        <f>Tabla14[[#This Row],[P3 + P6]]*VLOOKUP(MONTH(Tabla14[[#This Row],[Fecha final]]),Tabla20[#All],7,FALSE)</f>
        <v>170</v>
      </c>
      <c r="N17" s="16">
        <f>YEAR(Tabla14[[#This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42</v>
      </c>
      <c r="E18" s="16">
        <v>296</v>
      </c>
      <c r="F18" s="16">
        <v>685</v>
      </c>
      <c r="G18" s="16">
        <v>177</v>
      </c>
      <c r="H18" s="16">
        <f>Tabla14[[#This Row],[P1 + P4]]*VLOOKUP(MONTH(Tabla14[[#This Row],[Fecha final]]),Tabla20[#All],2,FALSE)</f>
        <v>0</v>
      </c>
      <c r="I18" s="16">
        <f>Tabla14[[#This Row],[P2 + P5]]*VLOOKUP(MONTH(Tabla14[[#This Row],[Fecha final]]),Tabla20[#All],3,FALSE)</f>
        <v>0</v>
      </c>
      <c r="J18" s="16">
        <f>(Tabla14[[#This Row],[P3 + P6]])*VLOOKUP(MONTH(Tabla14[[#This Row],[Fecha final]]),Tabla20[#All],4,FALSE)</f>
        <v>0</v>
      </c>
      <c r="K18" s="16">
        <f>Tabla14[[#This Row],[P1 + P4]]*VLOOKUP(MONTH(Tabla14[[#This Row],[Fecha final]]),Tabla20[#All],5,FALSE)</f>
        <v>296</v>
      </c>
      <c r="L18" s="16">
        <f>Tabla14[[#This Row],[P2 + P5]]*VLOOKUP(MONTH(Tabla14[[#This Row],[Fecha final]]),Tabla20[#All],6,FALSE)</f>
        <v>685</v>
      </c>
      <c r="M18" s="16">
        <f>Tabla14[[#This Row],[P3 + P6]]*VLOOKUP(MONTH(Tabla14[[#This Row],[Fecha final]]),Tabla20[#All],7,FALSE)</f>
        <v>177</v>
      </c>
      <c r="N18" s="16">
        <f>YEAR(Tabla14[[#This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42</v>
      </c>
      <c r="E19" s="16">
        <v>466</v>
      </c>
      <c r="F19" s="16">
        <v>0</v>
      </c>
      <c r="G19" s="16">
        <v>937</v>
      </c>
      <c r="H19" s="16">
        <f>Tabla14[[#This Row],[P1 + P4]]*VLOOKUP(MONTH(Tabla14[[#This Row],[Fecha final]]),Tabla20[#All],2,FALSE)</f>
        <v>0</v>
      </c>
      <c r="I19" s="16">
        <f>Tabla14[[#This Row],[P2 + P5]]*VLOOKUP(MONTH(Tabla14[[#This Row],[Fecha final]]),Tabla20[#All],3,FALSE)</f>
        <v>0</v>
      </c>
      <c r="J19" s="16">
        <f>(Tabla14[[#This Row],[P3 + P6]])*VLOOKUP(MONTH(Tabla14[[#This Row],[Fecha final]]),Tabla20[#All],4,FALSE)</f>
        <v>327.76260000000002</v>
      </c>
      <c r="K19" s="16">
        <f>Tabla14[[#This Row],[P1 + P4]]*VLOOKUP(MONTH(Tabla14[[#This Row],[Fecha final]]),Tabla20[#All],5,FALSE)</f>
        <v>466</v>
      </c>
      <c r="L19" s="16">
        <f>Tabla14[[#This Row],[P2 + P5]]*VLOOKUP(MONTH(Tabla14[[#This Row],[Fecha final]]),Tabla20[#All],6,FALSE)</f>
        <v>0</v>
      </c>
      <c r="M19" s="16">
        <f>Tabla14[[#This Row],[P3 + P6]]*VLOOKUP(MONTH(Tabla14[[#This Row],[Fecha final]]),Tabla20[#All],7,FALSE)</f>
        <v>609.23739999999998</v>
      </c>
      <c r="N19" s="16">
        <f>YEAR(Tabla14[[#This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42</v>
      </c>
      <c r="E20" s="16">
        <v>990</v>
      </c>
      <c r="F20" s="16">
        <v>659</v>
      </c>
      <c r="G20" s="16">
        <v>283</v>
      </c>
      <c r="H20" s="16">
        <f>Tabla14[[#This Row],[P1 + P4]]*VLOOKUP(MONTH(Tabla14[[#This Row],[Fecha final]]),Tabla20[#All],2,FALSE)</f>
        <v>990</v>
      </c>
      <c r="I20" s="16">
        <f>Tabla14[[#This Row],[P2 + P5]]*VLOOKUP(MONTH(Tabla14[[#This Row],[Fecha final]]),Tabla20[#All],3,FALSE)</f>
        <v>659</v>
      </c>
      <c r="J20" s="16">
        <f>(Tabla14[[#This Row],[P3 + P6]])*VLOOKUP(MONTH(Tabla14[[#This Row],[Fecha final]]),Tabla20[#All],4,FALSE)</f>
        <v>0</v>
      </c>
      <c r="K20" s="16">
        <f>Tabla14[[#This Row],[P1 + P4]]*VLOOKUP(MONTH(Tabla14[[#This Row],[Fecha final]]),Tabla20[#All],5,FALSE)</f>
        <v>0</v>
      </c>
      <c r="L20" s="16">
        <f>Tabla14[[#This Row],[P2 + P5]]*VLOOKUP(MONTH(Tabla14[[#This Row],[Fecha final]]),Tabla20[#All],6,FALSE)</f>
        <v>0</v>
      </c>
      <c r="M20" s="16">
        <f>Tabla14[[#This Row],[P3 + P6]]*VLOOKUP(MONTH(Tabla14[[#This Row],[Fecha final]]),Tabla20[#All],7,FALSE)</f>
        <v>283</v>
      </c>
      <c r="N20" s="16">
        <f>YEAR(Tabla14[[#This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42</v>
      </c>
      <c r="E21" s="16">
        <v>280</v>
      </c>
      <c r="F21" s="16">
        <v>0</v>
      </c>
      <c r="G21" s="16">
        <v>954</v>
      </c>
      <c r="H21" s="16">
        <f>Tabla14[[#This Row],[P1 + P4]]*VLOOKUP(MONTH(Tabla14[[#This Row],[Fecha final]]),Tabla20[#All],2,FALSE)</f>
        <v>0</v>
      </c>
      <c r="I21" s="16">
        <f>Tabla14[[#This Row],[P2 + P5]]*VLOOKUP(MONTH(Tabla14[[#This Row],[Fecha final]]),Tabla20[#All],3,FALSE)</f>
        <v>0</v>
      </c>
      <c r="J21" s="16">
        <f>(Tabla14[[#This Row],[P3 + P6]])*VLOOKUP(MONTH(Tabla14[[#This Row],[Fecha final]]),Tabla20[#All],4,FALSE)</f>
        <v>320.16239999999999</v>
      </c>
      <c r="K21" s="16">
        <f>Tabla14[[#This Row],[P1 + P4]]*VLOOKUP(MONTH(Tabla14[[#This Row],[Fecha final]]),Tabla20[#All],5,FALSE)</f>
        <v>280</v>
      </c>
      <c r="L21" s="16">
        <f>Tabla14[[#This Row],[P2 + P5]]*VLOOKUP(MONTH(Tabla14[[#This Row],[Fecha final]]),Tabla20[#All],6,FALSE)</f>
        <v>0</v>
      </c>
      <c r="M21" s="16">
        <f>Tabla14[[#This Row],[P3 + P6]]*VLOOKUP(MONTH(Tabla14[[#This Row],[Fecha final]]),Tabla20[#All],7,FALSE)</f>
        <v>633.83759999999995</v>
      </c>
      <c r="N21" s="16">
        <f>YEAR(Tabla14[[#This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42</v>
      </c>
      <c r="E22" s="16">
        <v>606</v>
      </c>
      <c r="F22" s="16">
        <v>0</v>
      </c>
      <c r="G22" s="16">
        <v>1038</v>
      </c>
      <c r="H22" s="16">
        <f>Tabla14[[#This Row],[P1 + P4]]*VLOOKUP(MONTH(Tabla14[[#This Row],[Fecha final]]),Tabla20[#All],2,FALSE)</f>
        <v>0</v>
      </c>
      <c r="I22" s="16">
        <f>Tabla14[[#This Row],[P2 + P5]]*VLOOKUP(MONTH(Tabla14[[#This Row],[Fecha final]]),Tabla20[#All],3,FALSE)</f>
        <v>0</v>
      </c>
      <c r="J22" s="16">
        <f>(Tabla14[[#This Row],[P3 + P6]])*VLOOKUP(MONTH(Tabla14[[#This Row],[Fecha final]]),Tabla20[#All],4,FALSE)</f>
        <v>363.0924</v>
      </c>
      <c r="K22" s="16">
        <f>Tabla14[[#This Row],[P1 + P4]]*VLOOKUP(MONTH(Tabla14[[#This Row],[Fecha final]]),Tabla20[#All],5,FALSE)</f>
        <v>606</v>
      </c>
      <c r="L22" s="16">
        <f>Tabla14[[#This Row],[P2 + P5]]*VLOOKUP(MONTH(Tabla14[[#This Row],[Fecha final]]),Tabla20[#All],6,FALSE)</f>
        <v>0</v>
      </c>
      <c r="M22" s="16">
        <f>Tabla14[[#This Row],[P3 + P6]]*VLOOKUP(MONTH(Tabla14[[#This Row],[Fecha final]]),Tabla20[#All],7,FALSE)</f>
        <v>674.9076</v>
      </c>
      <c r="N22" s="16">
        <f>YEAR(Tabla14[[#This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42</v>
      </c>
      <c r="E23" s="16">
        <v>489</v>
      </c>
      <c r="F23" s="16">
        <v>371</v>
      </c>
      <c r="G23" s="16">
        <v>290</v>
      </c>
      <c r="H23" s="16">
        <f>Tabla14[[#This Row],[P1 + P4]]*VLOOKUP(MONTH(Tabla14[[#This Row],[Fecha final]]),Tabla20[#All],2,FALSE)</f>
        <v>0</v>
      </c>
      <c r="I23" s="16">
        <f>Tabla14[[#This Row],[P2 + P5]]*VLOOKUP(MONTH(Tabla14[[#This Row],[Fecha final]]),Tabla20[#All],3,FALSE)</f>
        <v>0</v>
      </c>
      <c r="J23" s="16">
        <f>(Tabla14[[#This Row],[P3 + P6]])*VLOOKUP(MONTH(Tabla14[[#This Row],[Fecha final]]),Tabla20[#All],4,FALSE)</f>
        <v>0</v>
      </c>
      <c r="K23" s="16">
        <f>Tabla14[[#This Row],[P1 + P4]]*VLOOKUP(MONTH(Tabla14[[#This Row],[Fecha final]]),Tabla20[#All],5,FALSE)</f>
        <v>489</v>
      </c>
      <c r="L23" s="16">
        <f>Tabla14[[#This Row],[P2 + P5]]*VLOOKUP(MONTH(Tabla14[[#This Row],[Fecha final]]),Tabla20[#All],6,FALSE)</f>
        <v>371</v>
      </c>
      <c r="M23" s="16">
        <f>Tabla14[[#This Row],[P3 + P6]]*VLOOKUP(MONTH(Tabla14[[#This Row],[Fecha final]]),Tabla20[#All],7,FALSE)</f>
        <v>290</v>
      </c>
      <c r="N23" s="16">
        <f>YEAR(Tabla14[[#This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992</v>
      </c>
      <c r="G24" s="16">
        <v>917</v>
      </c>
      <c r="H24" s="16">
        <f>Tabla14[[#This Row],[P1 + P4]]*VLOOKUP(MONTH(Tabla14[[#This Row],[Fecha final]]),Tabla20[#All],2,FALSE)</f>
        <v>0</v>
      </c>
      <c r="I24" s="16">
        <f>Tabla14[[#This Row],[P2 + P5]]*VLOOKUP(MONTH(Tabla14[[#This Row],[Fecha final]]),Tabla20[#All],3,FALSE)</f>
        <v>992</v>
      </c>
      <c r="J24" s="16">
        <f>(Tabla14[[#This Row],[P3 + P6]])*VLOOKUP(MONTH(Tabla14[[#This Row],[Fecha final]]),Tabla20[#All],4,FALSE)</f>
        <v>253.82559999999998</v>
      </c>
      <c r="K24" s="16">
        <f>Tabla14[[#This Row],[P1 + P4]]*VLOOKUP(MONTH(Tabla14[[#This Row],[Fecha final]]),Tabla20[#All],5,FALSE)</f>
        <v>0</v>
      </c>
      <c r="L24" s="16">
        <f>Tabla14[[#This Row],[P2 + P5]]*VLOOKUP(MONTH(Tabla14[[#This Row],[Fecha final]]),Tabla20[#All],6,FALSE)</f>
        <v>0</v>
      </c>
      <c r="M24" s="16">
        <f>Tabla14[[#This Row],[P3 + P6]]*VLOOKUP(MONTH(Tabla14[[#This Row],[Fecha final]]),Tabla20[#All],7,FALSE)</f>
        <v>663.17439999999999</v>
      </c>
      <c r="N24" s="16">
        <f>YEAR(Tabla14[[#This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42</v>
      </c>
      <c r="E25" s="16">
        <v>109</v>
      </c>
      <c r="F25" s="16">
        <v>81</v>
      </c>
      <c r="G25" s="16">
        <v>12</v>
      </c>
      <c r="H25" s="16">
        <f>Tabla14[[#This Row],[P1 + P4]]*VLOOKUP(MONTH(Tabla14[[#This Row],[Fecha final]]),Tabla20[#All],2,FALSE)</f>
        <v>109</v>
      </c>
      <c r="I25" s="16">
        <f>Tabla14[[#This Row],[P2 + P5]]*VLOOKUP(MONTH(Tabla14[[#This Row],[Fecha final]]),Tabla20[#All],3,FALSE)</f>
        <v>81</v>
      </c>
      <c r="J25" s="16">
        <f>(Tabla14[[#This Row],[P3 + P6]])*VLOOKUP(MONTH(Tabla14[[#This Row],[Fecha final]]),Tabla20[#All],4,FALSE)</f>
        <v>0</v>
      </c>
      <c r="K25" s="16">
        <f>Tabla14[[#This Row],[P1 + P4]]*VLOOKUP(MONTH(Tabla14[[#This Row],[Fecha final]]),Tabla20[#All],5,FALSE)</f>
        <v>0</v>
      </c>
      <c r="L25" s="16">
        <f>Tabla14[[#This Row],[P2 + P5]]*VLOOKUP(MONTH(Tabla14[[#This Row],[Fecha final]]),Tabla20[#All],6,FALSE)</f>
        <v>0</v>
      </c>
      <c r="M25" s="16">
        <f>Tabla14[[#This Row],[P3 + P6]]*VLOOKUP(MONTH(Tabla14[[#This Row],[Fecha final]]),Tabla20[#All],7,FALSE)</f>
        <v>12</v>
      </c>
      <c r="N25" s="16">
        <f>YEAR(Tabla14[[#This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42</v>
      </c>
      <c r="E26" s="16">
        <v>739</v>
      </c>
      <c r="F26" s="16">
        <v>454</v>
      </c>
      <c r="G26" s="16">
        <v>234</v>
      </c>
      <c r="H26" s="16">
        <f>Tabla14[[#This Row],[P1 + P4]]*VLOOKUP(MONTH(Tabla14[[#This Row],[Fecha final]]),Tabla20[#All],2,FALSE)</f>
        <v>739</v>
      </c>
      <c r="I26" s="16">
        <f>Tabla14[[#This Row],[P2 + P5]]*VLOOKUP(MONTH(Tabla14[[#This Row],[Fecha final]]),Tabla20[#All],3,FALSE)</f>
        <v>454</v>
      </c>
      <c r="J26" s="16">
        <f>(Tabla14[[#This Row],[P3 + P6]])*VLOOKUP(MONTH(Tabla14[[#This Row],[Fecha final]]),Tabla20[#All],4,FALSE)</f>
        <v>0</v>
      </c>
      <c r="K26" s="16">
        <f>Tabla14[[#This Row],[P1 + P4]]*VLOOKUP(MONTH(Tabla14[[#This Row],[Fecha final]]),Tabla20[#All],5,FALSE)</f>
        <v>0</v>
      </c>
      <c r="L26" s="16">
        <f>Tabla14[[#This Row],[P2 + P5]]*VLOOKUP(MONTH(Tabla14[[#This Row],[Fecha final]]),Tabla20[#All],6,FALSE)</f>
        <v>0</v>
      </c>
      <c r="M26" s="16">
        <f>Tabla14[[#This Row],[P3 + P6]]*VLOOKUP(MONTH(Tabla14[[#This Row],[Fecha final]]),Tabla20[#All],7,FALSE)</f>
        <v>234</v>
      </c>
      <c r="N26" s="16">
        <f>YEAR(Tabla14[[#This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616</v>
      </c>
      <c r="F27" s="16">
        <v>423</v>
      </c>
      <c r="G27" s="16">
        <v>226</v>
      </c>
      <c r="H27" s="16">
        <f>Tabla14[[#This Row],[P1 + P4]]*VLOOKUP(MONTH(Tabla14[[#This Row],[Fecha final]]),Tabla20[#All],2,FALSE)</f>
        <v>616</v>
      </c>
      <c r="I27" s="16">
        <f>Tabla14[[#This Row],[P2 + P5]]*VLOOKUP(MONTH(Tabla14[[#This Row],[Fecha final]]),Tabla20[#All],3,FALSE)</f>
        <v>423</v>
      </c>
      <c r="J27" s="16">
        <f>(Tabla14[[#This Row],[P3 + P6]])*VLOOKUP(MONTH(Tabla14[[#This Row],[Fecha final]]),Tabla20[#All],4,FALSE)</f>
        <v>0</v>
      </c>
      <c r="K27" s="16">
        <f>Tabla14[[#This Row],[P1 + P4]]*VLOOKUP(MONTH(Tabla14[[#This Row],[Fecha final]]),Tabla20[#All],5,FALSE)</f>
        <v>0</v>
      </c>
      <c r="L27" s="16">
        <f>Tabla14[[#This Row],[P2 + P5]]*VLOOKUP(MONTH(Tabla14[[#This Row],[Fecha final]]),Tabla20[#All],6,FALSE)</f>
        <v>0</v>
      </c>
      <c r="M27" s="16">
        <f>Tabla14[[#This Row],[P3 + P6]]*VLOOKUP(MONTH(Tabla14[[#This Row],[Fecha final]]),Tabla20[#All],7,FALSE)</f>
        <v>226</v>
      </c>
      <c r="N27" s="16">
        <f>YEAR(Tabla14[[#This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505</v>
      </c>
      <c r="F28" s="16">
        <v>313</v>
      </c>
      <c r="G28" s="16">
        <v>147</v>
      </c>
      <c r="H28" s="16">
        <f>Tabla14[[#This Row],[P1 + P4]]*VLOOKUP(MONTH(Tabla14[[#This Row],[Fecha final]]),Tabla20[#All],2,FALSE)</f>
        <v>505</v>
      </c>
      <c r="I28" s="16">
        <f>Tabla14[[#This Row],[P2 + P5]]*VLOOKUP(MONTH(Tabla14[[#This Row],[Fecha final]]),Tabla20[#All],3,FALSE)</f>
        <v>313</v>
      </c>
      <c r="J28" s="16">
        <f>(Tabla14[[#This Row],[P3 + P6]])*VLOOKUP(MONTH(Tabla14[[#This Row],[Fecha final]]),Tabla20[#All],4,FALSE)</f>
        <v>0</v>
      </c>
      <c r="K28" s="16">
        <f>Tabla14[[#This Row],[P1 + P4]]*VLOOKUP(MONTH(Tabla14[[#This Row],[Fecha final]]),Tabla20[#All],5,FALSE)</f>
        <v>0</v>
      </c>
      <c r="L28" s="16">
        <f>Tabla14[[#This Row],[P2 + P5]]*VLOOKUP(MONTH(Tabla14[[#This Row],[Fecha final]]),Tabla20[#All],6,FALSE)</f>
        <v>0</v>
      </c>
      <c r="M28" s="16">
        <f>Tabla14[[#This Row],[P3 + P6]]*VLOOKUP(MONTH(Tabla14[[#This Row],[Fecha final]]),Tabla20[#All],7,FALSE)</f>
        <v>147</v>
      </c>
      <c r="N28" s="16">
        <f>YEAR(Tabla14[[#This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540</v>
      </c>
      <c r="G29" s="16">
        <v>464</v>
      </c>
      <c r="H29" s="16">
        <f>Tabla14[[#This Row],[P1 + P4]]*VLOOKUP(MONTH(Tabla14[[#This Row],[Fecha final]]),Tabla20[#All],2,FALSE)</f>
        <v>0</v>
      </c>
      <c r="I29" s="16">
        <f>Tabla14[[#This Row],[P2 + P5]]*VLOOKUP(MONTH(Tabla14[[#This Row],[Fecha final]]),Tabla20[#All],3,FALSE)</f>
        <v>540</v>
      </c>
      <c r="J29" s="16">
        <f>(Tabla14[[#This Row],[P3 + P6]])*VLOOKUP(MONTH(Tabla14[[#This Row],[Fecha final]]),Tabla20[#All],4,FALSE)</f>
        <v>139.10720000000001</v>
      </c>
      <c r="K29" s="16">
        <f>Tabla14[[#This Row],[P1 + P4]]*VLOOKUP(MONTH(Tabla14[[#This Row],[Fecha final]]),Tabla20[#All],5,FALSE)</f>
        <v>0</v>
      </c>
      <c r="L29" s="16">
        <f>Tabla14[[#This Row],[P2 + P5]]*VLOOKUP(MONTH(Tabla14[[#This Row],[Fecha final]]),Tabla20[#All],6,FALSE)</f>
        <v>0</v>
      </c>
      <c r="M29" s="16">
        <f>Tabla14[[#This Row],[P3 + P6]]*VLOOKUP(MONTH(Tabla14[[#This Row],[Fecha final]]),Tabla20[#All],7,FALSE)</f>
        <v>324.89280000000002</v>
      </c>
      <c r="N29" s="16">
        <f>YEAR(Tabla14[[#This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326</v>
      </c>
      <c r="F30" s="16">
        <v>175</v>
      </c>
      <c r="G30" s="16">
        <v>162</v>
      </c>
      <c r="H30" s="16">
        <f>Tabla14[[#This Row],[P1 + P4]]*VLOOKUP(MONTH(Tabla14[[#This Row],[Fecha final]]),Tabla20[#All],2,FALSE)</f>
        <v>0</v>
      </c>
      <c r="I30" s="16">
        <f>Tabla14[[#This Row],[P2 + P5]]*VLOOKUP(MONTH(Tabla14[[#This Row],[Fecha final]]),Tabla20[#All],3,FALSE)</f>
        <v>0</v>
      </c>
      <c r="J30" s="16">
        <f>(Tabla14[[#This Row],[P3 + P6]])*VLOOKUP(MONTH(Tabla14[[#This Row],[Fecha final]]),Tabla20[#All],4,FALSE)</f>
        <v>0</v>
      </c>
      <c r="K30" s="16">
        <f>Tabla14[[#This Row],[P1 + P4]]*VLOOKUP(MONTH(Tabla14[[#This Row],[Fecha final]]),Tabla20[#All],5,FALSE)</f>
        <v>326</v>
      </c>
      <c r="L30" s="16">
        <f>Tabla14[[#This Row],[P2 + P5]]*VLOOKUP(MONTH(Tabla14[[#This Row],[Fecha final]]),Tabla20[#All],6,FALSE)</f>
        <v>175</v>
      </c>
      <c r="M30" s="16">
        <f>Tabla14[[#This Row],[P3 + P6]]*VLOOKUP(MONTH(Tabla14[[#This Row],[Fecha final]]),Tabla20[#All],7,FALSE)</f>
        <v>162</v>
      </c>
      <c r="N30" s="16">
        <f>YEAR(Tabla14[[#This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274</v>
      </c>
      <c r="F31" s="16">
        <v>144</v>
      </c>
      <c r="G31" s="16">
        <v>166</v>
      </c>
      <c r="H31" s="16">
        <f>Tabla14[[#This Row],[P1 + P4]]*VLOOKUP(MONTH(Tabla14[[#This Row],[Fecha final]]),Tabla20[#All],2,FALSE)</f>
        <v>0</v>
      </c>
      <c r="I31" s="16">
        <f>Tabla14[[#This Row],[P2 + P5]]*VLOOKUP(MONTH(Tabla14[[#This Row],[Fecha final]]),Tabla20[#All],3,FALSE)</f>
        <v>0</v>
      </c>
      <c r="J31" s="16">
        <f>(Tabla14[[#This Row],[P3 + P6]])*VLOOKUP(MONTH(Tabla14[[#This Row],[Fecha final]]),Tabla20[#All],4,FALSE)</f>
        <v>0</v>
      </c>
      <c r="K31" s="16">
        <f>Tabla14[[#This Row],[P1 + P4]]*VLOOKUP(MONTH(Tabla14[[#This Row],[Fecha final]]),Tabla20[#All],5,FALSE)</f>
        <v>274</v>
      </c>
      <c r="L31" s="16">
        <f>Tabla14[[#This Row],[P2 + P5]]*VLOOKUP(MONTH(Tabla14[[#This Row],[Fecha final]]),Tabla20[#All],6,FALSE)</f>
        <v>144</v>
      </c>
      <c r="M31" s="16">
        <f>Tabla14[[#This Row],[P3 + P6]]*VLOOKUP(MONTH(Tabla14[[#This Row],[Fecha final]]),Tabla20[#All],7,FALSE)</f>
        <v>166</v>
      </c>
      <c r="N31" s="16">
        <f>YEAR(Tabla14[[#This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269</v>
      </c>
      <c r="F32" s="16">
        <v>0</v>
      </c>
      <c r="G32" s="16">
        <v>666</v>
      </c>
      <c r="H32" s="16">
        <f>Tabla14[[#This Row],[P1 + P4]]*VLOOKUP(MONTH(Tabla14[[#This Row],[Fecha final]]),Tabla20[#All],2,FALSE)</f>
        <v>0</v>
      </c>
      <c r="I32" s="16">
        <f>Tabla14[[#This Row],[P2 + P5]]*VLOOKUP(MONTH(Tabla14[[#This Row],[Fecha final]]),Tabla20[#All],3,FALSE)</f>
        <v>0</v>
      </c>
      <c r="J32" s="16">
        <f>(Tabla14[[#This Row],[P3 + P6]])*VLOOKUP(MONTH(Tabla14[[#This Row],[Fecha final]]),Tabla20[#All],4,FALSE)</f>
        <v>232.96680000000001</v>
      </c>
      <c r="K32" s="16">
        <f>Tabla14[[#This Row],[P1 + P4]]*VLOOKUP(MONTH(Tabla14[[#This Row],[Fecha final]]),Tabla20[#All],5,FALSE)</f>
        <v>269</v>
      </c>
      <c r="L32" s="16">
        <f>Tabla14[[#This Row],[P2 + P5]]*VLOOKUP(MONTH(Tabla14[[#This Row],[Fecha final]]),Tabla20[#All],6,FALSE)</f>
        <v>0</v>
      </c>
      <c r="M32" s="16">
        <f>Tabla14[[#This Row],[P3 + P6]]*VLOOKUP(MONTH(Tabla14[[#This Row],[Fecha final]]),Tabla20[#All],7,FALSE)</f>
        <v>433.03320000000002</v>
      </c>
      <c r="N32" s="16">
        <f>YEAR(Tabla14[[#This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604</v>
      </c>
      <c r="F33" s="16">
        <v>362</v>
      </c>
      <c r="G33" s="16">
        <v>296</v>
      </c>
      <c r="H33" s="16">
        <f>Tabla14[[#This Row],[P1 + P4]]*VLOOKUP(MONTH(Tabla14[[#This Row],[Fecha final]]),Tabla20[#All],2,FALSE)</f>
        <v>604</v>
      </c>
      <c r="I33" s="16">
        <f>Tabla14[[#This Row],[P2 + P5]]*VLOOKUP(MONTH(Tabla14[[#This Row],[Fecha final]]),Tabla20[#All],3,FALSE)</f>
        <v>362</v>
      </c>
      <c r="J33" s="16">
        <f>(Tabla14[[#This Row],[P3 + P6]])*VLOOKUP(MONTH(Tabla14[[#This Row],[Fecha final]]),Tabla20[#All],4,FALSE)</f>
        <v>0</v>
      </c>
      <c r="K33" s="16">
        <f>Tabla14[[#This Row],[P1 + P4]]*VLOOKUP(MONTH(Tabla14[[#This Row],[Fecha final]]),Tabla20[#All],5,FALSE)</f>
        <v>0</v>
      </c>
      <c r="L33" s="16">
        <f>Tabla14[[#This Row],[P2 + P5]]*VLOOKUP(MONTH(Tabla14[[#This Row],[Fecha final]]),Tabla20[#All],6,FALSE)</f>
        <v>0</v>
      </c>
      <c r="M33" s="16">
        <f>Tabla14[[#This Row],[P3 + P6]]*VLOOKUP(MONTH(Tabla14[[#This Row],[Fecha final]]),Tabla20[#All],7,FALSE)</f>
        <v>296</v>
      </c>
      <c r="N33" s="16">
        <f>YEAR(Tabla14[[#This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181</v>
      </c>
      <c r="F34" s="16">
        <v>0</v>
      </c>
      <c r="G34" s="16">
        <v>766</v>
      </c>
      <c r="H34" s="16">
        <f>Tabla14[[#This Row],[P1 + P4]]*VLOOKUP(MONTH(Tabla14[[#This Row],[Fecha final]]),Tabla20[#All],2,FALSE)</f>
        <v>0</v>
      </c>
      <c r="I34" s="16">
        <f>Tabla14[[#This Row],[P2 + P5]]*VLOOKUP(MONTH(Tabla14[[#This Row],[Fecha final]]),Tabla20[#All],3,FALSE)</f>
        <v>0</v>
      </c>
      <c r="J34" s="16">
        <f>(Tabla14[[#This Row],[P3 + P6]])*VLOOKUP(MONTH(Tabla14[[#This Row],[Fecha final]]),Tabla20[#All],4,FALSE)</f>
        <v>257.06959999999998</v>
      </c>
      <c r="K34" s="16">
        <f>Tabla14[[#This Row],[P1 + P4]]*VLOOKUP(MONTH(Tabla14[[#This Row],[Fecha final]]),Tabla20[#All],5,FALSE)</f>
        <v>181</v>
      </c>
      <c r="L34" s="16">
        <f>Tabla14[[#This Row],[P2 + P5]]*VLOOKUP(MONTH(Tabla14[[#This Row],[Fecha final]]),Tabla20[#All],6,FALSE)</f>
        <v>0</v>
      </c>
      <c r="M34" s="16">
        <f>Tabla14[[#This Row],[P3 + P6]]*VLOOKUP(MONTH(Tabla14[[#This Row],[Fecha final]]),Tabla20[#All],7,FALSE)</f>
        <v>508.93040000000002</v>
      </c>
      <c r="N34" s="16">
        <f>YEAR(Tabla14[[#This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191</v>
      </c>
      <c r="F35" s="16">
        <v>0</v>
      </c>
      <c r="G35" s="16">
        <v>633</v>
      </c>
      <c r="H35" s="16">
        <f>Tabla14[[#This Row],[P1 + P4]]*VLOOKUP(MONTH(Tabla14[[#This Row],[Fecha final]]),Tabla20[#All],2,FALSE)</f>
        <v>0</v>
      </c>
      <c r="I35" s="16">
        <f>Tabla14[[#This Row],[P2 + P5]]*VLOOKUP(MONTH(Tabla14[[#This Row],[Fecha final]]),Tabla20[#All],3,FALSE)</f>
        <v>0</v>
      </c>
      <c r="J35" s="16">
        <f>(Tabla14[[#This Row],[P3 + P6]])*VLOOKUP(MONTH(Tabla14[[#This Row],[Fecha final]]),Tabla20[#All],4,FALSE)</f>
        <v>221.42339999999999</v>
      </c>
      <c r="K35" s="16">
        <f>Tabla14[[#This Row],[P1 + P4]]*VLOOKUP(MONTH(Tabla14[[#This Row],[Fecha final]]),Tabla20[#All],5,FALSE)</f>
        <v>191</v>
      </c>
      <c r="L35" s="16">
        <f>Tabla14[[#This Row],[P2 + P5]]*VLOOKUP(MONTH(Tabla14[[#This Row],[Fecha final]]),Tabla20[#All],6,FALSE)</f>
        <v>0</v>
      </c>
      <c r="M35" s="16">
        <f>Tabla14[[#This Row],[P3 + P6]]*VLOOKUP(MONTH(Tabla14[[#This Row],[Fecha final]]),Tabla20[#All],7,FALSE)</f>
        <v>411.57659999999998</v>
      </c>
      <c r="N35" s="16">
        <f>YEAR(Tabla14[[#This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238</v>
      </c>
      <c r="F36" s="16">
        <v>155</v>
      </c>
      <c r="G36" s="16">
        <v>207</v>
      </c>
      <c r="H36" s="16">
        <f>Tabla14[[#This Row],[P1 + P4]]*VLOOKUP(MONTH(Tabla14[[#This Row],[Fecha final]]),Tabla20[#All],2,FALSE)</f>
        <v>0</v>
      </c>
      <c r="I36" s="16">
        <f>Tabla14[[#This Row],[P2 + P5]]*VLOOKUP(MONTH(Tabla14[[#This Row],[Fecha final]]),Tabla20[#All],3,FALSE)</f>
        <v>0</v>
      </c>
      <c r="J36" s="16">
        <f>(Tabla14[[#This Row],[P3 + P6]])*VLOOKUP(MONTH(Tabla14[[#This Row],[Fecha final]]),Tabla20[#All],4,FALSE)</f>
        <v>0</v>
      </c>
      <c r="K36" s="16">
        <f>Tabla14[[#This Row],[P1 + P4]]*VLOOKUP(MONTH(Tabla14[[#This Row],[Fecha final]]),Tabla20[#All],5,FALSE)</f>
        <v>238</v>
      </c>
      <c r="L36" s="16">
        <f>Tabla14[[#This Row],[P2 + P5]]*VLOOKUP(MONTH(Tabla14[[#This Row],[Fecha final]]),Tabla20[#All],6,FALSE)</f>
        <v>155</v>
      </c>
      <c r="M36" s="16">
        <f>Tabla14[[#This Row],[P3 + P6]]*VLOOKUP(MONTH(Tabla14[[#This Row],[Fecha final]]),Tabla20[#All],7,FALSE)</f>
        <v>207</v>
      </c>
      <c r="N36" s="16">
        <f>YEAR(Tabla14[[#This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285</v>
      </c>
      <c r="G37" s="16">
        <v>371</v>
      </c>
      <c r="H37" s="16">
        <f>Tabla14[[#This Row],[P1 + P4]]*VLOOKUP(MONTH(Tabla14[[#This Row],[Fecha final]]),Tabla20[#All],2,FALSE)</f>
        <v>0</v>
      </c>
      <c r="I37" s="16">
        <f>Tabla14[[#This Row],[P2 + P5]]*VLOOKUP(MONTH(Tabla14[[#This Row],[Fecha final]]),Tabla20[#All],3,FALSE)</f>
        <v>285</v>
      </c>
      <c r="J37" s="16">
        <f>(Tabla14[[#This Row],[P3 + P6]])*VLOOKUP(MONTH(Tabla14[[#This Row],[Fecha final]]),Tabla20[#All],4,FALSE)</f>
        <v>102.69279999999999</v>
      </c>
      <c r="K37" s="16">
        <f>Tabla14[[#This Row],[P1 + P4]]*VLOOKUP(MONTH(Tabla14[[#This Row],[Fecha final]]),Tabla20[#All],5,FALSE)</f>
        <v>0</v>
      </c>
      <c r="L37" s="16">
        <f>Tabla14[[#This Row],[P2 + P5]]*VLOOKUP(MONTH(Tabla14[[#This Row],[Fecha final]]),Tabla20[#All],6,FALSE)</f>
        <v>0</v>
      </c>
      <c r="M37" s="16">
        <f>Tabla14[[#This Row],[P3 + P6]]*VLOOKUP(MONTH(Tabla14[[#This Row],[Fecha final]]),Tabla20[#All],7,FALSE)</f>
        <v>268.30719999999997</v>
      </c>
      <c r="N37" s="16">
        <f>YEAR(Tabla14[[#This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451</v>
      </c>
      <c r="F38" s="16">
        <v>263</v>
      </c>
      <c r="G38" s="16">
        <v>192</v>
      </c>
      <c r="H38" s="16">
        <f>Tabla14[[#This Row],[P1 + P4]]*VLOOKUP(MONTH(Tabla14[[#This Row],[Fecha final]]),Tabla20[#All],2,FALSE)</f>
        <v>451</v>
      </c>
      <c r="I38" s="16">
        <f>Tabla14[[#This Row],[P2 + P5]]*VLOOKUP(MONTH(Tabla14[[#This Row],[Fecha final]]),Tabla20[#All],3,FALSE)</f>
        <v>263</v>
      </c>
      <c r="J38" s="16">
        <f>(Tabla14[[#This Row],[P3 + P6]])*VLOOKUP(MONTH(Tabla14[[#This Row],[Fecha final]]),Tabla20[#All],4,FALSE)</f>
        <v>0</v>
      </c>
      <c r="K38" s="16">
        <f>Tabla14[[#This Row],[P1 + P4]]*VLOOKUP(MONTH(Tabla14[[#This Row],[Fecha final]]),Tabla20[#All],5,FALSE)</f>
        <v>0</v>
      </c>
      <c r="L38" s="16">
        <f>Tabla14[[#This Row],[P2 + P5]]*VLOOKUP(MONTH(Tabla14[[#This Row],[Fecha final]]),Tabla20[#All],6,FALSE)</f>
        <v>0</v>
      </c>
      <c r="M38" s="16">
        <f>Tabla14[[#This Row],[P3 + P6]]*VLOOKUP(MONTH(Tabla14[[#This Row],[Fecha final]]),Tabla20[#All],7,FALSE)</f>
        <v>192</v>
      </c>
      <c r="N38" s="16">
        <f>YEAR(Tabla14[[#This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638</v>
      </c>
      <c r="F39" s="16">
        <v>385</v>
      </c>
      <c r="G39" s="16">
        <v>210</v>
      </c>
      <c r="H39" s="16">
        <f>Tabla14[[#This Row],[P1 + P4]]*VLOOKUP(MONTH(Tabla14[[#This Row],[Fecha final]]),Tabla20[#All],2,FALSE)</f>
        <v>638</v>
      </c>
      <c r="I39" s="16">
        <f>Tabla14[[#This Row],[P2 + P5]]*VLOOKUP(MONTH(Tabla14[[#This Row],[Fecha final]]),Tabla20[#All],3,FALSE)</f>
        <v>385</v>
      </c>
      <c r="J39" s="16">
        <f>(Tabla14[[#This Row],[P3 + P6]])*VLOOKUP(MONTH(Tabla14[[#This Row],[Fecha final]]),Tabla20[#All],4,FALSE)</f>
        <v>0</v>
      </c>
      <c r="K39" s="16">
        <f>Tabla14[[#This Row],[P1 + P4]]*VLOOKUP(MONTH(Tabla14[[#This Row],[Fecha final]]),Tabla20[#All],5,FALSE)</f>
        <v>0</v>
      </c>
      <c r="L39" s="16">
        <f>Tabla14[[#This Row],[P2 + P5]]*VLOOKUP(MONTH(Tabla14[[#This Row],[Fecha final]]),Tabla20[#All],6,FALSE)</f>
        <v>0</v>
      </c>
      <c r="M39" s="16">
        <f>Tabla14[[#This Row],[P3 + P6]]*VLOOKUP(MONTH(Tabla14[[#This Row],[Fecha final]]),Tabla20[#All],7,FALSE)</f>
        <v>210</v>
      </c>
      <c r="N39" s="16">
        <f>YEAR(Tabla14[[#This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735</v>
      </c>
      <c r="F40" s="16">
        <v>398</v>
      </c>
      <c r="G40" s="16">
        <v>154</v>
      </c>
      <c r="H40" s="16">
        <f>Tabla14[[#This Row],[P1 + P4]]*VLOOKUP(MONTH(Tabla14[[#This Row],[Fecha final]]),Tabla20[#All],2,FALSE)</f>
        <v>735</v>
      </c>
      <c r="I40" s="16">
        <f>Tabla14[[#This Row],[P2 + P5]]*VLOOKUP(MONTH(Tabla14[[#This Row],[Fecha final]]),Tabla20[#All],3,FALSE)</f>
        <v>398</v>
      </c>
      <c r="J40" s="16">
        <f>(Tabla14[[#This Row],[P3 + P6]])*VLOOKUP(MONTH(Tabla14[[#This Row],[Fecha final]]),Tabla20[#All],4,FALSE)</f>
        <v>0</v>
      </c>
      <c r="K40" s="16">
        <f>Tabla14[[#This Row],[P1 + P4]]*VLOOKUP(MONTH(Tabla14[[#This Row],[Fecha final]]),Tabla20[#All],5,FALSE)</f>
        <v>0</v>
      </c>
      <c r="L40" s="16">
        <f>Tabla14[[#This Row],[P2 + P5]]*VLOOKUP(MONTH(Tabla14[[#This Row],[Fecha final]]),Tabla20[#All],6,FALSE)</f>
        <v>0</v>
      </c>
      <c r="M40" s="16">
        <f>Tabla14[[#This Row],[P3 + P6]]*VLOOKUP(MONTH(Tabla14[[#This Row],[Fecha final]]),Tabla20[#All],7,FALSE)</f>
        <v>154</v>
      </c>
      <c r="N40" s="16">
        <f>YEAR(Tabla14[[#This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468</v>
      </c>
      <c r="G41" s="16">
        <v>467</v>
      </c>
      <c r="H41" s="16">
        <f>Tabla14[[#This Row],[P1 + P4]]*VLOOKUP(MONTH(Tabla14[[#This Row],[Fecha final]]),Tabla20[#All],2,FALSE)</f>
        <v>0</v>
      </c>
      <c r="I41" s="16">
        <f>Tabla14[[#This Row],[P2 + P5]]*VLOOKUP(MONTH(Tabla14[[#This Row],[Fecha final]]),Tabla20[#All],3,FALSE)</f>
        <v>468</v>
      </c>
      <c r="J41" s="16">
        <f>(Tabla14[[#This Row],[P3 + P6]])*VLOOKUP(MONTH(Tabla14[[#This Row],[Fecha final]]),Tabla20[#All],4,FALSE)</f>
        <v>140.00659999999999</v>
      </c>
      <c r="K41" s="16">
        <f>Tabla14[[#This Row],[P1 + P4]]*VLOOKUP(MONTH(Tabla14[[#This Row],[Fecha final]]),Tabla20[#All],5,FALSE)</f>
        <v>0</v>
      </c>
      <c r="L41" s="16">
        <f>Tabla14[[#This Row],[P2 + P5]]*VLOOKUP(MONTH(Tabla14[[#This Row],[Fecha final]]),Tabla20[#All],6,FALSE)</f>
        <v>0</v>
      </c>
      <c r="M41" s="16">
        <f>Tabla14[[#This Row],[P3 + P6]]*VLOOKUP(MONTH(Tabla14[[#This Row],[Fecha final]]),Tabla20[#All],7,FALSE)</f>
        <v>326.99340000000001</v>
      </c>
      <c r="N41" s="16">
        <f>YEAR(Tabla14[[#This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1</v>
      </c>
      <c r="F70" s="16">
        <v>12</v>
      </c>
      <c r="G70" s="16">
        <v>0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29</v>
      </c>
      <c r="F71" s="16">
        <v>39</v>
      </c>
      <c r="G71" s="16">
        <v>1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8</v>
      </c>
      <c r="F72" s="16">
        <v>120</v>
      </c>
      <c r="G72" s="16">
        <v>1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4</v>
      </c>
      <c r="F73" s="16">
        <v>113</v>
      </c>
      <c r="G73" s="16">
        <v>3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7</v>
      </c>
      <c r="F74" s="16">
        <v>191</v>
      </c>
      <c r="G74" s="16">
        <v>3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9</v>
      </c>
      <c r="F75" s="16">
        <v>161</v>
      </c>
      <c r="G75" s="16">
        <v>2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2</v>
      </c>
      <c r="F76" s="16">
        <v>63</v>
      </c>
      <c r="G76" s="16">
        <v>1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7</v>
      </c>
      <c r="F77" s="16">
        <v>14</v>
      </c>
      <c r="G77" s="16">
        <v>2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28</v>
      </c>
      <c r="F78" s="16">
        <v>28</v>
      </c>
      <c r="G78" s="16">
        <v>1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57</v>
      </c>
      <c r="F79" s="16">
        <v>56</v>
      </c>
      <c r="G79" s="16">
        <v>8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136</v>
      </c>
      <c r="F80" s="16">
        <v>135</v>
      </c>
      <c r="G80" s="16">
        <v>3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58</v>
      </c>
      <c r="F81" s="16">
        <v>47</v>
      </c>
      <c r="G81" s="16">
        <v>2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85</v>
      </c>
      <c r="C87" s="16">
        <v>85</v>
      </c>
      <c r="D87" s="16">
        <v>85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12</v>
      </c>
      <c r="G89" s="16">
        <v>8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12</v>
      </c>
      <c r="F90" s="16">
        <v>12</v>
      </c>
      <c r="G90" s="16">
        <v>4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16</v>
      </c>
      <c r="F91" s="16">
        <v>12</v>
      </c>
      <c r="G91" s="16">
        <v>8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12</v>
      </c>
      <c r="F92" s="16">
        <v>8</v>
      </c>
      <c r="G92" s="16">
        <v>4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8</v>
      </c>
      <c r="G93" s="16">
        <v>8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8</v>
      </c>
      <c r="F94" s="16">
        <v>4</v>
      </c>
      <c r="G94" s="16">
        <v>4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8</v>
      </c>
      <c r="F95" s="16">
        <v>0</v>
      </c>
      <c r="G95" s="16">
        <v>12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8</v>
      </c>
      <c r="F96" s="16">
        <v>0</v>
      </c>
      <c r="G96" s="16">
        <v>8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12</v>
      </c>
      <c r="F97" s="16">
        <v>12</v>
      </c>
      <c r="G97" s="16">
        <v>8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8</v>
      </c>
      <c r="F98" s="16">
        <v>0</v>
      </c>
      <c r="G98" s="16">
        <v>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4</v>
      </c>
      <c r="F99" s="16">
        <v>4</v>
      </c>
      <c r="G99" s="16">
        <v>4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8</v>
      </c>
      <c r="F100" s="16">
        <v>8</v>
      </c>
      <c r="G100" s="16">
        <v>4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8</v>
      </c>
      <c r="G101" s="16">
        <v>8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8</v>
      </c>
      <c r="F102" s="16">
        <v>8</v>
      </c>
      <c r="G102" s="16">
        <v>8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12</v>
      </c>
      <c r="F103" s="16">
        <v>12</v>
      </c>
      <c r="G103" s="16">
        <v>8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16</v>
      </c>
      <c r="F104" s="16">
        <v>16</v>
      </c>
      <c r="G104" s="16">
        <v>8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16</v>
      </c>
      <c r="F105" s="16">
        <v>16</v>
      </c>
      <c r="G105" s="16">
        <v>8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16</v>
      </c>
      <c r="G106" s="16">
        <v>16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8</v>
      </c>
      <c r="F107" s="16">
        <v>8</v>
      </c>
      <c r="G107" s="16">
        <v>8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12</v>
      </c>
      <c r="F108" s="16">
        <v>0</v>
      </c>
      <c r="G108" s="16">
        <v>12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85</v>
      </c>
      <c r="F109" s="16">
        <v>85</v>
      </c>
      <c r="G109" s="16">
        <v>85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16</v>
      </c>
      <c r="F110" s="16">
        <v>12</v>
      </c>
      <c r="G110" s="16">
        <v>8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12</v>
      </c>
      <c r="F111" s="16">
        <v>0</v>
      </c>
      <c r="G111" s="16">
        <v>12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8</v>
      </c>
      <c r="F112" s="16">
        <v>8</v>
      </c>
      <c r="G112" s="16">
        <v>4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8</v>
      </c>
      <c r="F113" s="16">
        <v>11</v>
      </c>
      <c r="G113" s="16">
        <v>2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8</v>
      </c>
      <c r="F114" s="16">
        <v>13</v>
      </c>
      <c r="G114" s="16">
        <v>3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11</v>
      </c>
      <c r="F115" s="16">
        <v>16</v>
      </c>
      <c r="G115" s="16">
        <v>6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11</v>
      </c>
      <c r="F116" s="16">
        <v>16</v>
      </c>
      <c r="G116" s="16">
        <v>6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9</v>
      </c>
      <c r="F117" s="16">
        <v>15</v>
      </c>
      <c r="G117" s="16">
        <v>4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8</v>
      </c>
      <c r="F118" s="16">
        <v>13</v>
      </c>
      <c r="G118" s="16">
        <v>5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8</v>
      </c>
      <c r="F119" s="16">
        <v>8</v>
      </c>
      <c r="G119" s="16">
        <v>3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10</v>
      </c>
      <c r="F120" s="16">
        <v>10</v>
      </c>
      <c r="G120" s="16">
        <v>5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13</v>
      </c>
      <c r="F121" s="16">
        <v>12</v>
      </c>
      <c r="G121" s="16">
        <v>8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14</v>
      </c>
      <c r="F122" s="16">
        <v>14</v>
      </c>
      <c r="G122" s="16">
        <v>5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13</v>
      </c>
      <c r="F123" s="16">
        <v>12</v>
      </c>
      <c r="G123" s="16">
        <v>4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16E40-685A-45A6-947C-299E8A96E4F3}">
  <dimension ref="A1:N129"/>
  <sheetViews>
    <sheetView topLeftCell="A4" workbookViewId="0">
      <selection activeCell="H7" sqref="H7:N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149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9774</v>
      </c>
      <c r="C4" s="16">
        <v>6456</v>
      </c>
      <c r="D4" s="16">
        <v>11080</v>
      </c>
    </row>
    <row r="5" spans="1:14">
      <c r="A5" s="16" t="s">
        <v>36</v>
      </c>
      <c r="B5" s="16">
        <v>36</v>
      </c>
      <c r="C5" s="16">
        <v>24</v>
      </c>
      <c r="D5" s="16">
        <v>41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43982</v>
      </c>
      <c r="B7" s="17">
        <v>44012</v>
      </c>
      <c r="C7" s="16">
        <v>30</v>
      </c>
      <c r="D7" s="16" t="s">
        <v>42</v>
      </c>
      <c r="E7" s="16">
        <v>520</v>
      </c>
      <c r="F7" s="16">
        <v>895</v>
      </c>
      <c r="G7" s="16">
        <v>185</v>
      </c>
      <c r="H7" s="16">
        <f>Tabla15[[#This Row],[P1 + P4]]*VLOOKUP(MONTH(Tabla15[[#This Row],[Fecha final]]),Tabla20[#All],2,FALSE)</f>
        <v>0</v>
      </c>
      <c r="I7" s="16">
        <f>Tabla15[[#This Row],[P2 + P5]]*VLOOKUP(MONTH(Tabla15[[#This Row],[Fecha final]]),Tabla20[#All],3,FALSE)</f>
        <v>0</v>
      </c>
      <c r="J7" s="16">
        <f>(Tabla15[[#This Row],[P3 + P6]])*VLOOKUP(MONTH(Tabla15[[#This Row],[Fecha final]]),Tabla20[#All],4,FALSE)</f>
        <v>64.712999999999994</v>
      </c>
      <c r="K7" s="16">
        <f>Tabla15[[#This Row],[P1 + P4]]*VLOOKUP(MONTH(Tabla15[[#This Row],[Fecha final]]),Tabla20[#All],5,FALSE)</f>
        <v>520</v>
      </c>
      <c r="L7" s="16">
        <f>Tabla15[[#This Row],[P2 + P5]]*VLOOKUP(MONTH(Tabla15[[#This Row],[Fecha final]]),Tabla20[#All],6,FALSE)</f>
        <v>0</v>
      </c>
      <c r="M7" s="16">
        <f>Tabla15[[#This Row],[P3 + P6]]*VLOOKUP(MONTH(Tabla15[[#This Row],[Fecha final]]),Tabla20[#All],7,FALSE)</f>
        <v>120.28700000000001</v>
      </c>
      <c r="N7" s="16">
        <f>YEAR(Tabla15[[#This Row],[Fecha final]])</f>
        <v>2020</v>
      </c>
    </row>
    <row r="8" spans="1:14">
      <c r="A8" s="17">
        <v>44012</v>
      </c>
      <c r="B8" s="17">
        <v>44043</v>
      </c>
      <c r="C8" s="16">
        <v>31</v>
      </c>
      <c r="D8" s="16" t="s">
        <v>42</v>
      </c>
      <c r="E8" s="16">
        <v>1080</v>
      </c>
      <c r="F8" s="16">
        <v>1805</v>
      </c>
      <c r="G8" s="16">
        <v>208</v>
      </c>
      <c r="H8" s="16">
        <f>Tabla15[[#This Row],[P1 + P4]]*VLOOKUP(MONTH(Tabla15[[#This Row],[Fecha final]]),Tabla20[#All],2,FALSE)</f>
        <v>1080</v>
      </c>
      <c r="I8" s="16">
        <f>Tabla15[[#This Row],[P2 + P5]]*VLOOKUP(MONTH(Tabla15[[#This Row],[Fecha final]]),Tabla20[#All],3,FALSE)</f>
        <v>1805</v>
      </c>
      <c r="J8" s="16">
        <f>(Tabla15[[#This Row],[P3 + P6]])*VLOOKUP(MONTH(Tabla15[[#This Row],[Fecha final]]),Tabla20[#All],4,FALSE)</f>
        <v>0</v>
      </c>
      <c r="K8" s="16">
        <f>Tabla15[[#This Row],[P1 + P4]]*VLOOKUP(MONTH(Tabla15[[#This Row],[Fecha final]]),Tabla20[#All],5,FALSE)</f>
        <v>0</v>
      </c>
      <c r="L8" s="16">
        <f>Tabla15[[#This Row],[P2 + P5]]*VLOOKUP(MONTH(Tabla15[[#This Row],[Fecha final]]),Tabla20[#All],6,FALSE)</f>
        <v>0</v>
      </c>
      <c r="M8" s="16">
        <f>Tabla15[[#This Row],[P3 + P6]]*VLOOKUP(MONTH(Tabla15[[#This Row],[Fecha final]]),Tabla20[#All],7,FALSE)</f>
        <v>208</v>
      </c>
      <c r="N8" s="16">
        <f>YEAR(Tabla15[[#This Row],[Fecha final]])</f>
        <v>2020</v>
      </c>
    </row>
    <row r="9" spans="1:14">
      <c r="A9" s="17">
        <v>44043</v>
      </c>
      <c r="B9" s="17">
        <v>44074</v>
      </c>
      <c r="C9" s="16">
        <v>31</v>
      </c>
      <c r="D9" s="16" t="s">
        <v>42</v>
      </c>
      <c r="E9" s="16">
        <v>994</v>
      </c>
      <c r="F9" s="16">
        <v>1630</v>
      </c>
      <c r="G9" s="16">
        <v>265</v>
      </c>
      <c r="H9" s="16">
        <f>Tabla15[[#This Row],[P1 + P4]]*VLOOKUP(MONTH(Tabla15[[#This Row],[Fecha final]]),Tabla20[#All],2,FALSE)</f>
        <v>0</v>
      </c>
      <c r="I9" s="16">
        <f>Tabla15[[#This Row],[P2 + P5]]*VLOOKUP(MONTH(Tabla15[[#This Row],[Fecha final]]),Tabla20[#All],3,FALSE)</f>
        <v>0</v>
      </c>
      <c r="J9" s="16">
        <f>(Tabla15[[#This Row],[P3 + P6]])*VLOOKUP(MONTH(Tabla15[[#This Row],[Fecha final]]),Tabla20[#All],4,FALSE)</f>
        <v>88.933999999999997</v>
      </c>
      <c r="K9" s="16">
        <f>Tabla15[[#This Row],[P1 + P4]]*VLOOKUP(MONTH(Tabla15[[#This Row],[Fecha final]]),Tabla20[#All],5,FALSE)</f>
        <v>994</v>
      </c>
      <c r="L9" s="16">
        <f>Tabla15[[#This Row],[P2 + P5]]*VLOOKUP(MONTH(Tabla15[[#This Row],[Fecha final]]),Tabla20[#All],6,FALSE)</f>
        <v>0</v>
      </c>
      <c r="M9" s="16">
        <f>Tabla15[[#This Row],[P3 + P6]]*VLOOKUP(MONTH(Tabla15[[#This Row],[Fecha final]]),Tabla20[#All],7,FALSE)</f>
        <v>176.066</v>
      </c>
      <c r="N9" s="16">
        <f>YEAR(Tabla15[[#This Row],[Fecha final]])</f>
        <v>2020</v>
      </c>
    </row>
    <row r="10" spans="1:14">
      <c r="A10" s="17">
        <v>44074</v>
      </c>
      <c r="B10" s="17">
        <v>44104</v>
      </c>
      <c r="C10" s="16">
        <v>30</v>
      </c>
      <c r="D10" s="16" t="s">
        <v>42</v>
      </c>
      <c r="E10" s="16">
        <v>744</v>
      </c>
      <c r="F10" s="16">
        <v>1445</v>
      </c>
      <c r="G10" s="16">
        <v>289</v>
      </c>
      <c r="H10" s="16">
        <f>Tabla15[[#This Row],[P1 + P4]]*VLOOKUP(MONTH(Tabla15[[#This Row],[Fecha final]]),Tabla20[#All],2,FALSE)</f>
        <v>0</v>
      </c>
      <c r="I10" s="16">
        <f>Tabla15[[#This Row],[P2 + P5]]*VLOOKUP(MONTH(Tabla15[[#This Row],[Fecha final]]),Tabla20[#All],3,FALSE)</f>
        <v>0</v>
      </c>
      <c r="J10" s="16">
        <f>(Tabla15[[#This Row],[P3 + P6]])*VLOOKUP(MONTH(Tabla15[[#This Row],[Fecha final]]),Tabla20[#All],4,FALSE)</f>
        <v>101.09220000000001</v>
      </c>
      <c r="K10" s="16">
        <f>Tabla15[[#This Row],[P1 + P4]]*VLOOKUP(MONTH(Tabla15[[#This Row],[Fecha final]]),Tabla20[#All],5,FALSE)</f>
        <v>744</v>
      </c>
      <c r="L10" s="16">
        <f>Tabla15[[#This Row],[P2 + P5]]*VLOOKUP(MONTH(Tabla15[[#This Row],[Fecha final]]),Tabla20[#All],6,FALSE)</f>
        <v>0</v>
      </c>
      <c r="M10" s="16">
        <f>Tabla15[[#This Row],[P3 + P6]]*VLOOKUP(MONTH(Tabla15[[#This Row],[Fecha final]]),Tabla20[#All],7,FALSE)</f>
        <v>187.90780000000001</v>
      </c>
      <c r="N10" s="16">
        <f>YEAR(Tabla15[[#This Row],[Fecha final]])</f>
        <v>2020</v>
      </c>
    </row>
    <row r="11" spans="1:14">
      <c r="A11" s="17">
        <v>44104</v>
      </c>
      <c r="B11" s="17">
        <v>44135</v>
      </c>
      <c r="C11" s="16">
        <v>31</v>
      </c>
      <c r="D11" s="16" t="s">
        <v>42</v>
      </c>
      <c r="E11" s="16">
        <v>417</v>
      </c>
      <c r="F11" s="16">
        <v>1181</v>
      </c>
      <c r="G11" s="16">
        <v>304</v>
      </c>
      <c r="H11" s="16">
        <f>Tabla15[[#This Row],[P1 + P4]]*VLOOKUP(MONTH(Tabla15[[#This Row],[Fecha final]]),Tabla20[#All],2,FALSE)</f>
        <v>0</v>
      </c>
      <c r="I11" s="16">
        <f>Tabla15[[#This Row],[P2 + P5]]*VLOOKUP(MONTH(Tabla15[[#This Row],[Fecha final]]),Tabla20[#All],3,FALSE)</f>
        <v>0</v>
      </c>
      <c r="J11" s="16">
        <f>(Tabla15[[#This Row],[P3 + P6]])*VLOOKUP(MONTH(Tabla15[[#This Row],[Fecha final]]),Tabla20[#All],4,FALSE)</f>
        <v>0</v>
      </c>
      <c r="K11" s="16">
        <f>Tabla15[[#This Row],[P1 + P4]]*VLOOKUP(MONTH(Tabla15[[#This Row],[Fecha final]]),Tabla20[#All],5,FALSE)</f>
        <v>417</v>
      </c>
      <c r="L11" s="16">
        <f>Tabla15[[#This Row],[P2 + P5]]*VLOOKUP(MONTH(Tabla15[[#This Row],[Fecha final]]),Tabla20[#All],6,FALSE)</f>
        <v>1181</v>
      </c>
      <c r="M11" s="16">
        <f>Tabla15[[#This Row],[P3 + P6]]*VLOOKUP(MONTH(Tabla15[[#This Row],[Fecha final]]),Tabla20[#All],7,FALSE)</f>
        <v>304</v>
      </c>
      <c r="N11" s="16">
        <f>YEAR(Tabla15[[#This Row],[Fecha final]])</f>
        <v>2020</v>
      </c>
    </row>
    <row r="12" spans="1:14">
      <c r="A12" s="17">
        <v>44135</v>
      </c>
      <c r="B12" s="17">
        <v>44165</v>
      </c>
      <c r="C12" s="16">
        <v>30</v>
      </c>
      <c r="D12" s="16" t="s">
        <v>42</v>
      </c>
      <c r="E12" s="16">
        <v>338</v>
      </c>
      <c r="F12" s="16">
        <v>1762</v>
      </c>
      <c r="G12" s="16">
        <v>237</v>
      </c>
      <c r="H12" s="16">
        <f>Tabla15[[#This Row],[P1 + P4]]*VLOOKUP(MONTH(Tabla15[[#This Row],[Fecha final]]),Tabla20[#All],2,FALSE)</f>
        <v>0</v>
      </c>
      <c r="I12" s="16">
        <f>Tabla15[[#This Row],[P2 + P5]]*VLOOKUP(MONTH(Tabla15[[#This Row],[Fecha final]]),Tabla20[#All],3,FALSE)</f>
        <v>1762</v>
      </c>
      <c r="J12" s="16">
        <f>(Tabla15[[#This Row],[P3 + P6]])*VLOOKUP(MONTH(Tabla15[[#This Row],[Fecha final]]),Tabla20[#All],4,FALSE)</f>
        <v>65.601600000000005</v>
      </c>
      <c r="K12" s="16">
        <f>Tabla15[[#This Row],[P1 + P4]]*VLOOKUP(MONTH(Tabla15[[#This Row],[Fecha final]]),Tabla20[#All],5,FALSE)</f>
        <v>0</v>
      </c>
      <c r="L12" s="16">
        <f>Tabla15[[#This Row],[P2 + P5]]*VLOOKUP(MONTH(Tabla15[[#This Row],[Fecha final]]),Tabla20[#All],6,FALSE)</f>
        <v>0</v>
      </c>
      <c r="M12" s="16">
        <f>Tabla15[[#This Row],[P3 + P6]]*VLOOKUP(MONTH(Tabla15[[#This Row],[Fecha final]]),Tabla20[#All],7,FALSE)</f>
        <v>171.39839999999998</v>
      </c>
      <c r="N12" s="16">
        <f>YEAR(Tabla15[[#This Row],[Fecha final]])</f>
        <v>2020</v>
      </c>
    </row>
    <row r="13" spans="1:14">
      <c r="A13" s="17">
        <v>44165</v>
      </c>
      <c r="B13" s="17">
        <v>44196</v>
      </c>
      <c r="C13" s="16">
        <v>31</v>
      </c>
      <c r="D13" s="16" t="s">
        <v>42</v>
      </c>
      <c r="E13" s="16">
        <v>318</v>
      </c>
      <c r="F13" s="16">
        <v>2411</v>
      </c>
      <c r="G13" s="16">
        <v>262</v>
      </c>
      <c r="H13" s="16">
        <f>Tabla15[[#This Row],[P1 + P4]]*VLOOKUP(MONTH(Tabla15[[#This Row],[Fecha final]]),Tabla20[#All],2,FALSE)</f>
        <v>318</v>
      </c>
      <c r="I13" s="16">
        <f>Tabla15[[#This Row],[P2 + P5]]*VLOOKUP(MONTH(Tabla15[[#This Row],[Fecha final]]),Tabla20[#All],3,FALSE)</f>
        <v>2411</v>
      </c>
      <c r="J13" s="16">
        <f>(Tabla15[[#This Row],[P3 + P6]])*VLOOKUP(MONTH(Tabla15[[#This Row],[Fecha final]]),Tabla20[#All],4,FALSE)</f>
        <v>0</v>
      </c>
      <c r="K13" s="16">
        <f>Tabla15[[#This Row],[P1 + P4]]*VLOOKUP(MONTH(Tabla15[[#This Row],[Fecha final]]),Tabla20[#All],5,FALSE)</f>
        <v>0</v>
      </c>
      <c r="L13" s="16">
        <f>Tabla15[[#This Row],[P2 + P5]]*VLOOKUP(MONTH(Tabla15[[#This Row],[Fecha final]]),Tabla20[#All],6,FALSE)</f>
        <v>0</v>
      </c>
      <c r="M13" s="16">
        <f>Tabla15[[#This Row],[P3 + P6]]*VLOOKUP(MONTH(Tabla15[[#This Row],[Fecha final]]),Tabla20[#All],7,FALSE)</f>
        <v>262</v>
      </c>
      <c r="N13" s="16">
        <f>YEAR(Tabla15[[#This Row],[Fecha final]])</f>
        <v>2020</v>
      </c>
    </row>
    <row r="14" spans="1:14">
      <c r="A14" s="17">
        <v>44196</v>
      </c>
      <c r="B14" s="17">
        <v>44232</v>
      </c>
      <c r="C14" s="16">
        <v>36</v>
      </c>
      <c r="D14" s="16" t="s">
        <v>42</v>
      </c>
      <c r="E14" s="16">
        <v>488</v>
      </c>
      <c r="F14" s="16">
        <v>3231</v>
      </c>
      <c r="G14" s="16">
        <v>457</v>
      </c>
      <c r="H14" s="16">
        <f>Tabla15[[#This Row],[P1 + P4]]*VLOOKUP(MONTH(Tabla15[[#This Row],[Fecha final]]),Tabla20[#All],2,FALSE)</f>
        <v>488</v>
      </c>
      <c r="I14" s="16">
        <f>Tabla15[[#This Row],[P2 + P5]]*VLOOKUP(MONTH(Tabla15[[#This Row],[Fecha final]]),Tabla20[#All],3,FALSE)</f>
        <v>3231</v>
      </c>
      <c r="J14" s="16">
        <f>(Tabla15[[#This Row],[P3 + P6]])*VLOOKUP(MONTH(Tabla15[[#This Row],[Fecha final]]),Tabla20[#All],4,FALSE)</f>
        <v>0</v>
      </c>
      <c r="K14" s="16">
        <f>Tabla15[[#This Row],[P1 + P4]]*VLOOKUP(MONTH(Tabla15[[#This Row],[Fecha final]]),Tabla20[#All],5,FALSE)</f>
        <v>0</v>
      </c>
      <c r="L14" s="16">
        <f>Tabla15[[#This Row],[P2 + P5]]*VLOOKUP(MONTH(Tabla15[[#This Row],[Fecha final]]),Tabla20[#All],6,FALSE)</f>
        <v>0</v>
      </c>
      <c r="M14" s="16">
        <f>Tabla15[[#This Row],[P3 + P6]]*VLOOKUP(MONTH(Tabla15[[#This Row],[Fecha final]]),Tabla20[#All],7,FALSE)</f>
        <v>457</v>
      </c>
      <c r="N14" s="16">
        <f>YEAR(Tabla15[[#This Row],[Fecha final]])</f>
        <v>2021</v>
      </c>
    </row>
    <row r="15" spans="1:14">
      <c r="A15" s="17">
        <v>44232</v>
      </c>
      <c r="B15" s="17">
        <v>44255</v>
      </c>
      <c r="C15" s="16">
        <v>23</v>
      </c>
      <c r="D15" s="16" t="s">
        <v>42</v>
      </c>
      <c r="E15" s="16">
        <v>256</v>
      </c>
      <c r="F15" s="16">
        <v>1611</v>
      </c>
      <c r="G15" s="16">
        <v>189</v>
      </c>
      <c r="H15" s="16">
        <f>Tabla15[[#This Row],[P1 + P4]]*VLOOKUP(MONTH(Tabla15[[#This Row],[Fecha final]]),Tabla20[#All],2,FALSE)</f>
        <v>256</v>
      </c>
      <c r="I15" s="16">
        <f>Tabla15[[#This Row],[P2 + P5]]*VLOOKUP(MONTH(Tabla15[[#This Row],[Fecha final]]),Tabla20[#All],3,FALSE)</f>
        <v>1611</v>
      </c>
      <c r="J15" s="16">
        <f>(Tabla15[[#This Row],[P3 + P6]])*VLOOKUP(MONTH(Tabla15[[#This Row],[Fecha final]]),Tabla20[#All],4,FALSE)</f>
        <v>0</v>
      </c>
      <c r="K15" s="16">
        <f>Tabla15[[#This Row],[P1 + P4]]*VLOOKUP(MONTH(Tabla15[[#This Row],[Fecha final]]),Tabla20[#All],5,FALSE)</f>
        <v>0</v>
      </c>
      <c r="L15" s="16">
        <f>Tabla15[[#This Row],[P2 + P5]]*VLOOKUP(MONTH(Tabla15[[#This Row],[Fecha final]]),Tabla20[#All],6,FALSE)</f>
        <v>0</v>
      </c>
      <c r="M15" s="16">
        <f>Tabla15[[#This Row],[P3 + P6]]*VLOOKUP(MONTH(Tabla15[[#This Row],[Fecha final]]),Tabla20[#All],7,FALSE)</f>
        <v>189</v>
      </c>
      <c r="N15" s="16">
        <f>YEAR(Tabla15[[#This Row],[Fecha final]])</f>
        <v>2021</v>
      </c>
    </row>
    <row r="16" spans="1:14">
      <c r="A16" s="17">
        <v>44255</v>
      </c>
      <c r="B16" s="17">
        <v>44286</v>
      </c>
      <c r="C16" s="16">
        <v>31</v>
      </c>
      <c r="D16" s="16" t="s">
        <v>42</v>
      </c>
      <c r="E16" s="16">
        <v>527</v>
      </c>
      <c r="F16" s="16">
        <v>1649</v>
      </c>
      <c r="G16" s="16">
        <v>688</v>
      </c>
      <c r="H16" s="16">
        <f>Tabla15[[#This Row],[P1 + P4]]*VLOOKUP(MONTH(Tabla15[[#This Row],[Fecha final]]),Tabla20[#All],2,FALSE)</f>
        <v>0</v>
      </c>
      <c r="I16" s="16">
        <f>Tabla15[[#This Row],[P2 + P5]]*VLOOKUP(MONTH(Tabla15[[#This Row],[Fecha final]]),Tabla20[#All],3,FALSE)</f>
        <v>1649</v>
      </c>
      <c r="J16" s="16">
        <f>(Tabla15[[#This Row],[P3 + P6]])*VLOOKUP(MONTH(Tabla15[[#This Row],[Fecha final]]),Tabla20[#All],4,FALSE)</f>
        <v>206.26240000000001</v>
      </c>
      <c r="K16" s="16">
        <f>Tabla15[[#This Row],[P1 + P4]]*VLOOKUP(MONTH(Tabla15[[#This Row],[Fecha final]]),Tabla20[#All],5,FALSE)</f>
        <v>0</v>
      </c>
      <c r="L16" s="16">
        <f>Tabla15[[#This Row],[P2 + P5]]*VLOOKUP(MONTH(Tabla15[[#This Row],[Fecha final]]),Tabla20[#All],6,FALSE)</f>
        <v>0</v>
      </c>
      <c r="M16" s="16">
        <f>Tabla15[[#This Row],[P3 + P6]]*VLOOKUP(MONTH(Tabla15[[#This Row],[Fecha final]]),Tabla20[#All],7,FALSE)</f>
        <v>481.73760000000004</v>
      </c>
      <c r="N16" s="16">
        <f>YEAR(Tabla15[[#This Row],[Fecha final]])</f>
        <v>2021</v>
      </c>
    </row>
    <row r="17" spans="1:14">
      <c r="A17" s="17">
        <v>44286</v>
      </c>
      <c r="B17" s="17">
        <v>44316</v>
      </c>
      <c r="C17" s="16">
        <v>30</v>
      </c>
      <c r="D17" s="16" t="s">
        <v>42</v>
      </c>
      <c r="E17" s="16">
        <v>481</v>
      </c>
      <c r="F17" s="16">
        <v>1237</v>
      </c>
      <c r="G17" s="16">
        <v>561</v>
      </c>
      <c r="H17" s="16">
        <f>Tabla15[[#This Row],[P1 + P4]]*VLOOKUP(MONTH(Tabla15[[#This Row],[Fecha final]]),Tabla20[#All],2,FALSE)</f>
        <v>0</v>
      </c>
      <c r="I17" s="16">
        <f>Tabla15[[#This Row],[P2 + P5]]*VLOOKUP(MONTH(Tabla15[[#This Row],[Fecha final]]),Tabla20[#All],3,FALSE)</f>
        <v>0</v>
      </c>
      <c r="J17" s="16">
        <f>(Tabla15[[#This Row],[P3 + P6]])*VLOOKUP(MONTH(Tabla15[[#This Row],[Fecha final]]),Tabla20[#All],4,FALSE)</f>
        <v>0</v>
      </c>
      <c r="K17" s="16">
        <f>Tabla15[[#This Row],[P1 + P4]]*VLOOKUP(MONTH(Tabla15[[#This Row],[Fecha final]]),Tabla20[#All],5,FALSE)</f>
        <v>481</v>
      </c>
      <c r="L17" s="16">
        <f>Tabla15[[#This Row],[P2 + P5]]*VLOOKUP(MONTH(Tabla15[[#This Row],[Fecha final]]),Tabla20[#All],6,FALSE)</f>
        <v>1237</v>
      </c>
      <c r="M17" s="16">
        <f>Tabla15[[#This Row],[P3 + P6]]*VLOOKUP(MONTH(Tabla15[[#This Row],[Fecha final]]),Tabla20[#All],7,FALSE)</f>
        <v>561</v>
      </c>
      <c r="N17" s="16">
        <f>YEAR(Tabla15[[#This Row],[Fecha final]])</f>
        <v>2021</v>
      </c>
    </row>
    <row r="18" spans="1:14">
      <c r="A18" s="17">
        <v>44316</v>
      </c>
      <c r="B18" s="17">
        <v>44347</v>
      </c>
      <c r="C18" s="16">
        <v>31</v>
      </c>
      <c r="D18" s="16" t="s">
        <v>42</v>
      </c>
      <c r="E18" s="16">
        <v>282</v>
      </c>
      <c r="F18" s="16">
        <v>712</v>
      </c>
      <c r="G18" s="16">
        <v>320</v>
      </c>
      <c r="H18" s="16">
        <f>Tabla15[[#This Row],[P1 + P4]]*VLOOKUP(MONTH(Tabla15[[#This Row],[Fecha final]]),Tabla20[#All],2,FALSE)</f>
        <v>0</v>
      </c>
      <c r="I18" s="16">
        <f>Tabla15[[#This Row],[P2 + P5]]*VLOOKUP(MONTH(Tabla15[[#This Row],[Fecha final]]),Tabla20[#All],3,FALSE)</f>
        <v>0</v>
      </c>
      <c r="J18" s="16">
        <f>(Tabla15[[#This Row],[P3 + P6]])*VLOOKUP(MONTH(Tabla15[[#This Row],[Fecha final]]),Tabla20[#All],4,FALSE)</f>
        <v>0</v>
      </c>
      <c r="K18" s="16">
        <f>Tabla15[[#This Row],[P1 + P4]]*VLOOKUP(MONTH(Tabla15[[#This Row],[Fecha final]]),Tabla20[#All],5,FALSE)</f>
        <v>282</v>
      </c>
      <c r="L18" s="16">
        <f>Tabla15[[#This Row],[P2 + P5]]*VLOOKUP(MONTH(Tabla15[[#This Row],[Fecha final]]),Tabla20[#All],6,FALSE)</f>
        <v>712</v>
      </c>
      <c r="M18" s="16">
        <f>Tabla15[[#This Row],[P3 + P6]]*VLOOKUP(MONTH(Tabla15[[#This Row],[Fecha final]]),Tabla20[#All],7,FALSE)</f>
        <v>320</v>
      </c>
      <c r="N18" s="16">
        <f>YEAR(Tabla15[[#This Row],[Fecha final]])</f>
        <v>2021</v>
      </c>
    </row>
    <row r="19" spans="1:14">
      <c r="A19" s="17">
        <v>44347</v>
      </c>
      <c r="B19" s="17">
        <v>44377</v>
      </c>
      <c r="C19" s="16">
        <v>30</v>
      </c>
      <c r="D19" s="16" t="s">
        <v>42</v>
      </c>
      <c r="E19" s="16">
        <v>1050</v>
      </c>
      <c r="F19" s="16">
        <v>0</v>
      </c>
      <c r="G19" s="16">
        <v>1674</v>
      </c>
      <c r="H19" s="16">
        <f>Tabla15[[#This Row],[P1 + P4]]*VLOOKUP(MONTH(Tabla15[[#This Row],[Fecha final]]),Tabla20[#All],2,FALSE)</f>
        <v>0</v>
      </c>
      <c r="I19" s="16">
        <f>Tabla15[[#This Row],[P2 + P5]]*VLOOKUP(MONTH(Tabla15[[#This Row],[Fecha final]]),Tabla20[#All],3,FALSE)</f>
        <v>0</v>
      </c>
      <c r="J19" s="16">
        <f>(Tabla15[[#This Row],[P3 + P6]])*VLOOKUP(MONTH(Tabla15[[#This Row],[Fecha final]]),Tabla20[#All],4,FALSE)</f>
        <v>585.5652</v>
      </c>
      <c r="K19" s="16">
        <f>Tabla15[[#This Row],[P1 + P4]]*VLOOKUP(MONTH(Tabla15[[#This Row],[Fecha final]]),Tabla20[#All],5,FALSE)</f>
        <v>1050</v>
      </c>
      <c r="L19" s="16">
        <f>Tabla15[[#This Row],[P2 + P5]]*VLOOKUP(MONTH(Tabla15[[#This Row],[Fecha final]]),Tabla20[#All],6,FALSE)</f>
        <v>0</v>
      </c>
      <c r="M19" s="16">
        <f>Tabla15[[#This Row],[P3 + P6]]*VLOOKUP(MONTH(Tabla15[[#This Row],[Fecha final]]),Tabla20[#All],7,FALSE)</f>
        <v>1088.4348</v>
      </c>
      <c r="N19" s="16">
        <f>YEAR(Tabla15[[#This Row],[Fecha final]])</f>
        <v>2021</v>
      </c>
    </row>
    <row r="20" spans="1:14">
      <c r="A20" s="17">
        <v>44377</v>
      </c>
      <c r="B20" s="17">
        <v>44408</v>
      </c>
      <c r="C20" s="16">
        <v>31</v>
      </c>
      <c r="D20" s="16" t="s">
        <v>42</v>
      </c>
      <c r="E20" s="16">
        <v>1481</v>
      </c>
      <c r="F20" s="16">
        <v>977</v>
      </c>
      <c r="G20" s="16">
        <v>220</v>
      </c>
      <c r="H20" s="16">
        <f>Tabla15[[#This Row],[P1 + P4]]*VLOOKUP(MONTH(Tabla15[[#This Row],[Fecha final]]),Tabla20[#All],2,FALSE)</f>
        <v>1481</v>
      </c>
      <c r="I20" s="16">
        <f>Tabla15[[#This Row],[P2 + P5]]*VLOOKUP(MONTH(Tabla15[[#This Row],[Fecha final]]),Tabla20[#All],3,FALSE)</f>
        <v>977</v>
      </c>
      <c r="J20" s="16">
        <f>(Tabla15[[#This Row],[P3 + P6]])*VLOOKUP(MONTH(Tabla15[[#This Row],[Fecha final]]),Tabla20[#All],4,FALSE)</f>
        <v>0</v>
      </c>
      <c r="K20" s="16">
        <f>Tabla15[[#This Row],[P1 + P4]]*VLOOKUP(MONTH(Tabla15[[#This Row],[Fecha final]]),Tabla20[#All],5,FALSE)</f>
        <v>0</v>
      </c>
      <c r="L20" s="16">
        <f>Tabla15[[#This Row],[P2 + P5]]*VLOOKUP(MONTH(Tabla15[[#This Row],[Fecha final]]),Tabla20[#All],6,FALSE)</f>
        <v>0</v>
      </c>
      <c r="M20" s="16">
        <f>Tabla15[[#This Row],[P3 + P6]]*VLOOKUP(MONTH(Tabla15[[#This Row],[Fecha final]]),Tabla20[#All],7,FALSE)</f>
        <v>220</v>
      </c>
      <c r="N20" s="16">
        <f>YEAR(Tabla15[[#This Row],[Fecha final]])</f>
        <v>2021</v>
      </c>
    </row>
    <row r="21" spans="1:14">
      <c r="A21" s="17">
        <v>44408</v>
      </c>
      <c r="B21" s="17">
        <v>44439</v>
      </c>
      <c r="C21" s="16">
        <v>31</v>
      </c>
      <c r="D21" s="16" t="s">
        <v>42</v>
      </c>
      <c r="E21" s="16">
        <v>872</v>
      </c>
      <c r="F21" s="16">
        <v>0</v>
      </c>
      <c r="G21" s="16">
        <v>1501</v>
      </c>
      <c r="H21" s="16">
        <f>Tabla15[[#This Row],[P1 + P4]]*VLOOKUP(MONTH(Tabla15[[#This Row],[Fecha final]]),Tabla20[#All],2,FALSE)</f>
        <v>0</v>
      </c>
      <c r="I21" s="16">
        <f>Tabla15[[#This Row],[P2 + P5]]*VLOOKUP(MONTH(Tabla15[[#This Row],[Fecha final]]),Tabla20[#All],3,FALSE)</f>
        <v>0</v>
      </c>
      <c r="J21" s="16">
        <f>(Tabla15[[#This Row],[P3 + P6]])*VLOOKUP(MONTH(Tabla15[[#This Row],[Fecha final]]),Tabla20[#All],4,FALSE)</f>
        <v>503.73560000000003</v>
      </c>
      <c r="K21" s="16">
        <f>Tabla15[[#This Row],[P1 + P4]]*VLOOKUP(MONTH(Tabla15[[#This Row],[Fecha final]]),Tabla20[#All],5,FALSE)</f>
        <v>872</v>
      </c>
      <c r="L21" s="16">
        <f>Tabla15[[#This Row],[P2 + P5]]*VLOOKUP(MONTH(Tabla15[[#This Row],[Fecha final]]),Tabla20[#All],6,FALSE)</f>
        <v>0</v>
      </c>
      <c r="M21" s="16">
        <f>Tabla15[[#This Row],[P3 + P6]]*VLOOKUP(MONTH(Tabla15[[#This Row],[Fecha final]]),Tabla20[#All],7,FALSE)</f>
        <v>997.26440000000002</v>
      </c>
      <c r="N21" s="16">
        <f>YEAR(Tabla15[[#This Row],[Fecha final]])</f>
        <v>2021</v>
      </c>
    </row>
    <row r="22" spans="1:14">
      <c r="A22" s="17">
        <v>44439</v>
      </c>
      <c r="B22" s="17">
        <v>44469</v>
      </c>
      <c r="C22" s="16">
        <v>30</v>
      </c>
      <c r="D22" s="16" t="s">
        <v>42</v>
      </c>
      <c r="E22" s="16">
        <v>1039</v>
      </c>
      <c r="F22" s="16">
        <v>0</v>
      </c>
      <c r="G22" s="16">
        <v>1642</v>
      </c>
      <c r="H22" s="16">
        <f>Tabla15[[#This Row],[P1 + P4]]*VLOOKUP(MONTH(Tabla15[[#This Row],[Fecha final]]),Tabla20[#All],2,FALSE)</f>
        <v>0</v>
      </c>
      <c r="I22" s="16">
        <f>Tabla15[[#This Row],[P2 + P5]]*VLOOKUP(MONTH(Tabla15[[#This Row],[Fecha final]]),Tabla20[#All],3,FALSE)</f>
        <v>0</v>
      </c>
      <c r="J22" s="16">
        <f>(Tabla15[[#This Row],[P3 + P6]])*VLOOKUP(MONTH(Tabla15[[#This Row],[Fecha final]]),Tabla20[#All],4,FALSE)</f>
        <v>574.37159999999994</v>
      </c>
      <c r="K22" s="16">
        <f>Tabla15[[#This Row],[P1 + P4]]*VLOOKUP(MONTH(Tabla15[[#This Row],[Fecha final]]),Tabla20[#All],5,FALSE)</f>
        <v>1039</v>
      </c>
      <c r="L22" s="16">
        <f>Tabla15[[#This Row],[P2 + P5]]*VLOOKUP(MONTH(Tabla15[[#This Row],[Fecha final]]),Tabla20[#All],6,FALSE)</f>
        <v>0</v>
      </c>
      <c r="M22" s="16">
        <f>Tabla15[[#This Row],[P3 + P6]]*VLOOKUP(MONTH(Tabla15[[#This Row],[Fecha final]]),Tabla20[#All],7,FALSE)</f>
        <v>1067.6284000000001</v>
      </c>
      <c r="N22" s="16">
        <f>YEAR(Tabla15[[#This Row],[Fecha final]])</f>
        <v>2021</v>
      </c>
    </row>
    <row r="23" spans="1:14">
      <c r="A23" s="17">
        <v>44469</v>
      </c>
      <c r="B23" s="17">
        <v>44500</v>
      </c>
      <c r="C23" s="16">
        <v>31</v>
      </c>
      <c r="D23" s="16" t="s">
        <v>42</v>
      </c>
      <c r="E23" s="16">
        <v>656</v>
      </c>
      <c r="F23" s="16">
        <v>492</v>
      </c>
      <c r="G23" s="16">
        <v>214</v>
      </c>
      <c r="H23" s="16">
        <f>Tabla15[[#This Row],[P1 + P4]]*VLOOKUP(MONTH(Tabla15[[#This Row],[Fecha final]]),Tabla20[#All],2,FALSE)</f>
        <v>0</v>
      </c>
      <c r="I23" s="16">
        <f>Tabla15[[#This Row],[P2 + P5]]*VLOOKUP(MONTH(Tabla15[[#This Row],[Fecha final]]),Tabla20[#All],3,FALSE)</f>
        <v>0</v>
      </c>
      <c r="J23" s="16">
        <f>(Tabla15[[#This Row],[P3 + P6]])*VLOOKUP(MONTH(Tabla15[[#This Row],[Fecha final]]),Tabla20[#All],4,FALSE)</f>
        <v>0</v>
      </c>
      <c r="K23" s="16">
        <f>Tabla15[[#This Row],[P1 + P4]]*VLOOKUP(MONTH(Tabla15[[#This Row],[Fecha final]]),Tabla20[#All],5,FALSE)</f>
        <v>656</v>
      </c>
      <c r="L23" s="16">
        <f>Tabla15[[#This Row],[P2 + P5]]*VLOOKUP(MONTH(Tabla15[[#This Row],[Fecha final]]),Tabla20[#All],6,FALSE)</f>
        <v>492</v>
      </c>
      <c r="M23" s="16">
        <f>Tabla15[[#This Row],[P3 + P6]]*VLOOKUP(MONTH(Tabla15[[#This Row],[Fecha final]]),Tabla20[#All],7,FALSE)</f>
        <v>214</v>
      </c>
      <c r="N23" s="16">
        <f>YEAR(Tabla15[[#This Row],[Fecha final]])</f>
        <v>2021</v>
      </c>
    </row>
    <row r="24" spans="1:14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1303</v>
      </c>
      <c r="G24" s="16">
        <v>1314</v>
      </c>
      <c r="H24" s="16">
        <f>Tabla15[[#This Row],[P1 + P4]]*VLOOKUP(MONTH(Tabla15[[#This Row],[Fecha final]]),Tabla20[#All],2,FALSE)</f>
        <v>0</v>
      </c>
      <c r="I24" s="16">
        <f>Tabla15[[#This Row],[P2 + P5]]*VLOOKUP(MONTH(Tabla15[[#This Row],[Fecha final]]),Tabla20[#All],3,FALSE)</f>
        <v>1303</v>
      </c>
      <c r="J24" s="16">
        <f>(Tabla15[[#This Row],[P3 + P6]])*VLOOKUP(MONTH(Tabla15[[#This Row],[Fecha final]]),Tabla20[#All],4,FALSE)</f>
        <v>363.71519999999998</v>
      </c>
      <c r="K24" s="16">
        <f>Tabla15[[#This Row],[P1 + P4]]*VLOOKUP(MONTH(Tabla15[[#This Row],[Fecha final]]),Tabla20[#All],5,FALSE)</f>
        <v>0</v>
      </c>
      <c r="L24" s="16">
        <f>Tabla15[[#This Row],[P2 + P5]]*VLOOKUP(MONTH(Tabla15[[#This Row],[Fecha final]]),Tabla20[#All],6,FALSE)</f>
        <v>0</v>
      </c>
      <c r="M24" s="16">
        <f>Tabla15[[#This Row],[P3 + P6]]*VLOOKUP(MONTH(Tabla15[[#This Row],[Fecha final]]),Tabla20[#All],7,FALSE)</f>
        <v>950.2847999999999</v>
      </c>
      <c r="N24" s="16">
        <f>YEAR(Tabla15[[#This Row],[Fecha final]])</f>
        <v>2021</v>
      </c>
    </row>
    <row r="25" spans="1:14">
      <c r="A25" s="17">
        <v>44530</v>
      </c>
      <c r="B25" s="17">
        <v>44532</v>
      </c>
      <c r="C25" s="16">
        <v>2</v>
      </c>
      <c r="D25" s="16" t="s">
        <v>42</v>
      </c>
      <c r="E25" s="16">
        <v>152</v>
      </c>
      <c r="F25" s="16">
        <v>105</v>
      </c>
      <c r="G25" s="16">
        <v>35</v>
      </c>
      <c r="H25" s="16">
        <f>Tabla15[[#This Row],[P1 + P4]]*VLOOKUP(MONTH(Tabla15[[#This Row],[Fecha final]]),Tabla20[#All],2,FALSE)</f>
        <v>152</v>
      </c>
      <c r="I25" s="16">
        <f>Tabla15[[#This Row],[P2 + P5]]*VLOOKUP(MONTH(Tabla15[[#This Row],[Fecha final]]),Tabla20[#All],3,FALSE)</f>
        <v>105</v>
      </c>
      <c r="J25" s="16">
        <f>(Tabla15[[#This Row],[P3 + P6]])*VLOOKUP(MONTH(Tabla15[[#This Row],[Fecha final]]),Tabla20[#All],4,FALSE)</f>
        <v>0</v>
      </c>
      <c r="K25" s="16">
        <f>Tabla15[[#This Row],[P1 + P4]]*VLOOKUP(MONTH(Tabla15[[#This Row],[Fecha final]]),Tabla20[#All],5,FALSE)</f>
        <v>0</v>
      </c>
      <c r="L25" s="16">
        <f>Tabla15[[#This Row],[P2 + P5]]*VLOOKUP(MONTH(Tabla15[[#This Row],[Fecha final]]),Tabla20[#All],6,FALSE)</f>
        <v>0</v>
      </c>
      <c r="M25" s="16">
        <f>Tabla15[[#This Row],[P3 + P6]]*VLOOKUP(MONTH(Tabla15[[#This Row],[Fecha final]]),Tabla20[#All],7,FALSE)</f>
        <v>35</v>
      </c>
      <c r="N25" s="16">
        <f>YEAR(Tabla15[[#This Row],[Fecha final]])</f>
        <v>2021</v>
      </c>
    </row>
    <row r="26" spans="1:14">
      <c r="A26" s="17">
        <v>44532</v>
      </c>
      <c r="B26" s="17">
        <v>44561</v>
      </c>
      <c r="C26" s="16">
        <v>29</v>
      </c>
      <c r="D26" s="16" t="s">
        <v>42</v>
      </c>
      <c r="E26" s="16">
        <v>1529</v>
      </c>
      <c r="F26" s="16">
        <v>1139</v>
      </c>
      <c r="G26" s="16">
        <v>618</v>
      </c>
      <c r="H26" s="16">
        <f>Tabla15[[#This Row],[P1 + P4]]*VLOOKUP(MONTH(Tabla15[[#This Row],[Fecha final]]),Tabla20[#All],2,FALSE)</f>
        <v>1529</v>
      </c>
      <c r="I26" s="16">
        <f>Tabla15[[#This Row],[P2 + P5]]*VLOOKUP(MONTH(Tabla15[[#This Row],[Fecha final]]),Tabla20[#All],3,FALSE)</f>
        <v>1139</v>
      </c>
      <c r="J26" s="16">
        <f>(Tabla15[[#This Row],[P3 + P6]])*VLOOKUP(MONTH(Tabla15[[#This Row],[Fecha final]]),Tabla20[#All],4,FALSE)</f>
        <v>0</v>
      </c>
      <c r="K26" s="16">
        <f>Tabla15[[#This Row],[P1 + P4]]*VLOOKUP(MONTH(Tabla15[[#This Row],[Fecha final]]),Tabla20[#All],5,FALSE)</f>
        <v>0</v>
      </c>
      <c r="L26" s="16">
        <f>Tabla15[[#This Row],[P2 + P5]]*VLOOKUP(MONTH(Tabla15[[#This Row],[Fecha final]]),Tabla20[#All],6,FALSE)</f>
        <v>0</v>
      </c>
      <c r="M26" s="16">
        <f>Tabla15[[#This Row],[P3 + P6]]*VLOOKUP(MONTH(Tabla15[[#This Row],[Fecha final]]),Tabla20[#All],7,FALSE)</f>
        <v>618</v>
      </c>
      <c r="N26" s="16">
        <f>YEAR(Tabla15[[#This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2036</v>
      </c>
      <c r="F27" s="16">
        <v>1321</v>
      </c>
      <c r="G27" s="16">
        <v>643</v>
      </c>
      <c r="H27" s="16">
        <f>Tabla15[[#This Row],[P1 + P4]]*VLOOKUP(MONTH(Tabla15[[#This Row],[Fecha final]]),Tabla20[#All],2,FALSE)</f>
        <v>2036</v>
      </c>
      <c r="I27" s="16">
        <f>Tabla15[[#This Row],[P2 + P5]]*VLOOKUP(MONTH(Tabla15[[#This Row],[Fecha final]]),Tabla20[#All],3,FALSE)</f>
        <v>1321</v>
      </c>
      <c r="J27" s="16">
        <f>(Tabla15[[#This Row],[P3 + P6]])*VLOOKUP(MONTH(Tabla15[[#This Row],[Fecha final]]),Tabla20[#All],4,FALSE)</f>
        <v>0</v>
      </c>
      <c r="K27" s="16">
        <f>Tabla15[[#This Row],[P1 + P4]]*VLOOKUP(MONTH(Tabla15[[#This Row],[Fecha final]]),Tabla20[#All],5,FALSE)</f>
        <v>0</v>
      </c>
      <c r="L27" s="16">
        <f>Tabla15[[#This Row],[P2 + P5]]*VLOOKUP(MONTH(Tabla15[[#This Row],[Fecha final]]),Tabla20[#All],6,FALSE)</f>
        <v>0</v>
      </c>
      <c r="M27" s="16">
        <f>Tabla15[[#This Row],[P3 + P6]]*VLOOKUP(MONTH(Tabla15[[#This Row],[Fecha final]]),Tabla20[#All],7,FALSE)</f>
        <v>643</v>
      </c>
      <c r="N27" s="16">
        <f>YEAR(Tabla15[[#This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1403</v>
      </c>
      <c r="F28" s="16">
        <v>959</v>
      </c>
      <c r="G28" s="16">
        <v>979</v>
      </c>
      <c r="H28" s="16">
        <f>Tabla15[[#This Row],[P1 + P4]]*VLOOKUP(MONTH(Tabla15[[#This Row],[Fecha final]]),Tabla20[#All],2,FALSE)</f>
        <v>1403</v>
      </c>
      <c r="I28" s="16">
        <f>Tabla15[[#This Row],[P2 + P5]]*VLOOKUP(MONTH(Tabla15[[#This Row],[Fecha final]]),Tabla20[#All],3,FALSE)</f>
        <v>959</v>
      </c>
      <c r="J28" s="16">
        <f>(Tabla15[[#This Row],[P3 + P6]])*VLOOKUP(MONTH(Tabla15[[#This Row],[Fecha final]]),Tabla20[#All],4,FALSE)</f>
        <v>0</v>
      </c>
      <c r="K28" s="16">
        <f>Tabla15[[#This Row],[P1 + P4]]*VLOOKUP(MONTH(Tabla15[[#This Row],[Fecha final]]),Tabla20[#All],5,FALSE)</f>
        <v>0</v>
      </c>
      <c r="L28" s="16">
        <f>Tabla15[[#This Row],[P2 + P5]]*VLOOKUP(MONTH(Tabla15[[#This Row],[Fecha final]]),Tabla20[#All],6,FALSE)</f>
        <v>0</v>
      </c>
      <c r="M28" s="16">
        <f>Tabla15[[#This Row],[P3 + P6]]*VLOOKUP(MONTH(Tabla15[[#This Row],[Fecha final]]),Tabla20[#All],7,FALSE)</f>
        <v>979</v>
      </c>
      <c r="N28" s="16">
        <f>YEAR(Tabla15[[#This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1551</v>
      </c>
      <c r="G29" s="16">
        <v>1685</v>
      </c>
      <c r="H29" s="16">
        <f>Tabla15[[#This Row],[P1 + P4]]*VLOOKUP(MONTH(Tabla15[[#This Row],[Fecha final]]),Tabla20[#All],2,FALSE)</f>
        <v>0</v>
      </c>
      <c r="I29" s="16">
        <f>Tabla15[[#This Row],[P2 + P5]]*VLOOKUP(MONTH(Tabla15[[#This Row],[Fecha final]]),Tabla20[#All],3,FALSE)</f>
        <v>1551</v>
      </c>
      <c r="J29" s="16">
        <f>(Tabla15[[#This Row],[P3 + P6]])*VLOOKUP(MONTH(Tabla15[[#This Row],[Fecha final]]),Tabla20[#All],4,FALSE)</f>
        <v>505.16300000000001</v>
      </c>
      <c r="K29" s="16">
        <f>Tabla15[[#This Row],[P1 + P4]]*VLOOKUP(MONTH(Tabla15[[#This Row],[Fecha final]]),Tabla20[#All],5,FALSE)</f>
        <v>0</v>
      </c>
      <c r="L29" s="16">
        <f>Tabla15[[#This Row],[P2 + P5]]*VLOOKUP(MONTH(Tabla15[[#This Row],[Fecha final]]),Tabla20[#All],6,FALSE)</f>
        <v>0</v>
      </c>
      <c r="M29" s="16">
        <f>Tabla15[[#This Row],[P3 + P6]]*VLOOKUP(MONTH(Tabla15[[#This Row],[Fecha final]]),Tabla20[#All],7,FALSE)</f>
        <v>1179.837</v>
      </c>
      <c r="N29" s="16">
        <f>YEAR(Tabla15[[#This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1126</v>
      </c>
      <c r="F30" s="16">
        <v>809</v>
      </c>
      <c r="G30" s="16">
        <v>577</v>
      </c>
      <c r="H30" s="16">
        <f>Tabla15[[#This Row],[P1 + P4]]*VLOOKUP(MONTH(Tabla15[[#This Row],[Fecha final]]),Tabla20[#All],2,FALSE)</f>
        <v>0</v>
      </c>
      <c r="I30" s="16">
        <f>Tabla15[[#This Row],[P2 + P5]]*VLOOKUP(MONTH(Tabla15[[#This Row],[Fecha final]]),Tabla20[#All],3,FALSE)</f>
        <v>0</v>
      </c>
      <c r="J30" s="16">
        <f>(Tabla15[[#This Row],[P3 + P6]])*VLOOKUP(MONTH(Tabla15[[#This Row],[Fecha final]]),Tabla20[#All],4,FALSE)</f>
        <v>0</v>
      </c>
      <c r="K30" s="16">
        <f>Tabla15[[#This Row],[P1 + P4]]*VLOOKUP(MONTH(Tabla15[[#This Row],[Fecha final]]),Tabla20[#All],5,FALSE)</f>
        <v>1126</v>
      </c>
      <c r="L30" s="16">
        <f>Tabla15[[#This Row],[P2 + P5]]*VLOOKUP(MONTH(Tabla15[[#This Row],[Fecha final]]),Tabla20[#All],6,FALSE)</f>
        <v>809</v>
      </c>
      <c r="M30" s="16">
        <f>Tabla15[[#This Row],[P3 + P6]]*VLOOKUP(MONTH(Tabla15[[#This Row],[Fecha final]]),Tabla20[#All],7,FALSE)</f>
        <v>577</v>
      </c>
      <c r="N30" s="16">
        <f>YEAR(Tabla15[[#This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739</v>
      </c>
      <c r="F31" s="16">
        <v>542</v>
      </c>
      <c r="G31" s="16">
        <v>499</v>
      </c>
      <c r="H31" s="16">
        <f>Tabla15[[#This Row],[P1 + P4]]*VLOOKUP(MONTH(Tabla15[[#This Row],[Fecha final]]),Tabla20[#All],2,FALSE)</f>
        <v>0</v>
      </c>
      <c r="I31" s="16">
        <f>Tabla15[[#This Row],[P2 + P5]]*VLOOKUP(MONTH(Tabla15[[#This Row],[Fecha final]]),Tabla20[#All],3,FALSE)</f>
        <v>0</v>
      </c>
      <c r="J31" s="16">
        <f>(Tabla15[[#This Row],[P3 + P6]])*VLOOKUP(MONTH(Tabla15[[#This Row],[Fecha final]]),Tabla20[#All],4,FALSE)</f>
        <v>0</v>
      </c>
      <c r="K31" s="16">
        <f>Tabla15[[#This Row],[P1 + P4]]*VLOOKUP(MONTH(Tabla15[[#This Row],[Fecha final]]),Tabla20[#All],5,FALSE)</f>
        <v>739</v>
      </c>
      <c r="L31" s="16">
        <f>Tabla15[[#This Row],[P2 + P5]]*VLOOKUP(MONTH(Tabla15[[#This Row],[Fecha final]]),Tabla20[#All],6,FALSE)</f>
        <v>542</v>
      </c>
      <c r="M31" s="16">
        <f>Tabla15[[#This Row],[P3 + P6]]*VLOOKUP(MONTH(Tabla15[[#This Row],[Fecha final]]),Tabla20[#All],7,FALSE)</f>
        <v>499</v>
      </c>
      <c r="N31" s="16">
        <f>YEAR(Tabla15[[#This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715</v>
      </c>
      <c r="F32" s="16">
        <v>0</v>
      </c>
      <c r="G32" s="16">
        <v>1502</v>
      </c>
      <c r="H32" s="16">
        <f>Tabla15[[#This Row],[P1 + P4]]*VLOOKUP(MONTH(Tabla15[[#This Row],[Fecha final]]),Tabla20[#All],2,FALSE)</f>
        <v>0</v>
      </c>
      <c r="I32" s="16">
        <f>Tabla15[[#This Row],[P2 + P5]]*VLOOKUP(MONTH(Tabla15[[#This Row],[Fecha final]]),Tabla20[#All],3,FALSE)</f>
        <v>0</v>
      </c>
      <c r="J32" s="16">
        <f>(Tabla15[[#This Row],[P3 + P6]])*VLOOKUP(MONTH(Tabla15[[#This Row],[Fecha final]]),Tabla20[#All],4,FALSE)</f>
        <v>525.39959999999996</v>
      </c>
      <c r="K32" s="16">
        <f>Tabla15[[#This Row],[P1 + P4]]*VLOOKUP(MONTH(Tabla15[[#This Row],[Fecha final]]),Tabla20[#All],5,FALSE)</f>
        <v>715</v>
      </c>
      <c r="L32" s="16">
        <f>Tabla15[[#This Row],[P2 + P5]]*VLOOKUP(MONTH(Tabla15[[#This Row],[Fecha final]]),Tabla20[#All],6,FALSE)</f>
        <v>0</v>
      </c>
      <c r="M32" s="16">
        <f>Tabla15[[#This Row],[P3 + P6]]*VLOOKUP(MONTH(Tabla15[[#This Row],[Fecha final]]),Tabla20[#All],7,FALSE)</f>
        <v>976.60040000000004</v>
      </c>
      <c r="N32" s="16">
        <f>YEAR(Tabla15[[#This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1294</v>
      </c>
      <c r="F33" s="16">
        <v>932</v>
      </c>
      <c r="G33" s="16">
        <v>530</v>
      </c>
      <c r="H33" s="16">
        <f>Tabla15[[#This Row],[P1 + P4]]*VLOOKUP(MONTH(Tabla15[[#This Row],[Fecha final]]),Tabla20[#All],2,FALSE)</f>
        <v>1294</v>
      </c>
      <c r="I33" s="16">
        <f>Tabla15[[#This Row],[P2 + P5]]*VLOOKUP(MONTH(Tabla15[[#This Row],[Fecha final]]),Tabla20[#All],3,FALSE)</f>
        <v>932</v>
      </c>
      <c r="J33" s="16">
        <f>(Tabla15[[#This Row],[P3 + P6]])*VLOOKUP(MONTH(Tabla15[[#This Row],[Fecha final]]),Tabla20[#All],4,FALSE)</f>
        <v>0</v>
      </c>
      <c r="K33" s="16">
        <f>Tabla15[[#This Row],[P1 + P4]]*VLOOKUP(MONTH(Tabla15[[#This Row],[Fecha final]]),Tabla20[#All],5,FALSE)</f>
        <v>0</v>
      </c>
      <c r="L33" s="16">
        <f>Tabla15[[#This Row],[P2 + P5]]*VLOOKUP(MONTH(Tabla15[[#This Row],[Fecha final]]),Tabla20[#All],6,FALSE)</f>
        <v>0</v>
      </c>
      <c r="M33" s="16">
        <f>Tabla15[[#This Row],[P3 + P6]]*VLOOKUP(MONTH(Tabla15[[#This Row],[Fecha final]]),Tabla20[#All],7,FALSE)</f>
        <v>530</v>
      </c>
      <c r="N33" s="16">
        <f>YEAR(Tabla15[[#This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600</v>
      </c>
      <c r="F34" s="16">
        <v>0</v>
      </c>
      <c r="G34" s="16">
        <v>1554</v>
      </c>
      <c r="H34" s="16">
        <f>Tabla15[[#This Row],[P1 + P4]]*VLOOKUP(MONTH(Tabla15[[#This Row],[Fecha final]]),Tabla20[#All],2,FALSE)</f>
        <v>0</v>
      </c>
      <c r="I34" s="16">
        <f>Tabla15[[#This Row],[P2 + P5]]*VLOOKUP(MONTH(Tabla15[[#This Row],[Fecha final]]),Tabla20[#All],3,FALSE)</f>
        <v>0</v>
      </c>
      <c r="J34" s="16">
        <f>(Tabla15[[#This Row],[P3 + P6]])*VLOOKUP(MONTH(Tabla15[[#This Row],[Fecha final]]),Tabla20[#All],4,FALSE)</f>
        <v>521.52240000000006</v>
      </c>
      <c r="K34" s="16">
        <f>Tabla15[[#This Row],[P1 + P4]]*VLOOKUP(MONTH(Tabla15[[#This Row],[Fecha final]]),Tabla20[#All],5,FALSE)</f>
        <v>600</v>
      </c>
      <c r="L34" s="16">
        <f>Tabla15[[#This Row],[P2 + P5]]*VLOOKUP(MONTH(Tabla15[[#This Row],[Fecha final]]),Tabla20[#All],6,FALSE)</f>
        <v>0</v>
      </c>
      <c r="M34" s="16">
        <f>Tabla15[[#This Row],[P3 + P6]]*VLOOKUP(MONTH(Tabla15[[#This Row],[Fecha final]]),Tabla20[#All],7,FALSE)</f>
        <v>1032.4775999999999</v>
      </c>
      <c r="N34" s="16">
        <f>YEAR(Tabla15[[#This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613</v>
      </c>
      <c r="F35" s="16">
        <v>0</v>
      </c>
      <c r="G35" s="16">
        <v>1618</v>
      </c>
      <c r="H35" s="16">
        <f>Tabla15[[#This Row],[P1 + P4]]*VLOOKUP(MONTH(Tabla15[[#This Row],[Fecha final]]),Tabla20[#All],2,FALSE)</f>
        <v>0</v>
      </c>
      <c r="I35" s="16">
        <f>Tabla15[[#This Row],[P2 + P5]]*VLOOKUP(MONTH(Tabla15[[#This Row],[Fecha final]]),Tabla20[#All],3,FALSE)</f>
        <v>0</v>
      </c>
      <c r="J35" s="16">
        <f>(Tabla15[[#This Row],[P3 + P6]])*VLOOKUP(MONTH(Tabla15[[#This Row],[Fecha final]]),Tabla20[#All],4,FALSE)</f>
        <v>565.97640000000001</v>
      </c>
      <c r="K35" s="16">
        <f>Tabla15[[#This Row],[P1 + P4]]*VLOOKUP(MONTH(Tabla15[[#This Row],[Fecha final]]),Tabla20[#All],5,FALSE)</f>
        <v>613</v>
      </c>
      <c r="L35" s="16">
        <f>Tabla15[[#This Row],[P2 + P5]]*VLOOKUP(MONTH(Tabla15[[#This Row],[Fecha final]]),Tabla20[#All],6,FALSE)</f>
        <v>0</v>
      </c>
      <c r="M35" s="16">
        <f>Tabla15[[#This Row],[P3 + P6]]*VLOOKUP(MONTH(Tabla15[[#This Row],[Fecha final]]),Tabla20[#All],7,FALSE)</f>
        <v>1052.0236</v>
      </c>
      <c r="N35" s="16">
        <f>YEAR(Tabla15[[#This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329</v>
      </c>
      <c r="F36" s="16">
        <v>285</v>
      </c>
      <c r="G36" s="16">
        <v>521</v>
      </c>
      <c r="H36" s="16">
        <f>Tabla15[[#This Row],[P1 + P4]]*VLOOKUP(MONTH(Tabla15[[#This Row],[Fecha final]]),Tabla20[#All],2,FALSE)</f>
        <v>0</v>
      </c>
      <c r="I36" s="16">
        <f>Tabla15[[#This Row],[P2 + P5]]*VLOOKUP(MONTH(Tabla15[[#This Row],[Fecha final]]),Tabla20[#All],3,FALSE)</f>
        <v>0</v>
      </c>
      <c r="J36" s="16">
        <f>(Tabla15[[#This Row],[P3 + P6]])*VLOOKUP(MONTH(Tabla15[[#This Row],[Fecha final]]),Tabla20[#All],4,FALSE)</f>
        <v>0</v>
      </c>
      <c r="K36" s="16">
        <f>Tabla15[[#This Row],[P1 + P4]]*VLOOKUP(MONTH(Tabla15[[#This Row],[Fecha final]]),Tabla20[#All],5,FALSE)</f>
        <v>329</v>
      </c>
      <c r="L36" s="16">
        <f>Tabla15[[#This Row],[P2 + P5]]*VLOOKUP(MONTH(Tabla15[[#This Row],[Fecha final]]),Tabla20[#All],6,FALSE)</f>
        <v>285</v>
      </c>
      <c r="M36" s="16">
        <f>Tabla15[[#This Row],[P3 + P6]]*VLOOKUP(MONTH(Tabla15[[#This Row],[Fecha final]]),Tabla20[#All],7,FALSE)</f>
        <v>521</v>
      </c>
      <c r="N36" s="16">
        <f>YEAR(Tabla15[[#This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0</v>
      </c>
      <c r="F37" s="16">
        <v>843</v>
      </c>
      <c r="G37" s="16">
        <v>1140</v>
      </c>
      <c r="H37" s="16">
        <f>Tabla15[[#This Row],[P1 + P4]]*VLOOKUP(MONTH(Tabla15[[#This Row],[Fecha final]]),Tabla20[#All],2,FALSE)</f>
        <v>0</v>
      </c>
      <c r="I37" s="16">
        <f>Tabla15[[#This Row],[P2 + P5]]*VLOOKUP(MONTH(Tabla15[[#This Row],[Fecha final]]),Tabla20[#All],3,FALSE)</f>
        <v>843</v>
      </c>
      <c r="J37" s="16">
        <f>(Tabla15[[#This Row],[P3 + P6]])*VLOOKUP(MONTH(Tabla15[[#This Row],[Fecha final]]),Tabla20[#All],4,FALSE)</f>
        <v>315.55199999999996</v>
      </c>
      <c r="K37" s="16">
        <f>Tabla15[[#This Row],[P1 + P4]]*VLOOKUP(MONTH(Tabla15[[#This Row],[Fecha final]]),Tabla20[#All],5,FALSE)</f>
        <v>0</v>
      </c>
      <c r="L37" s="16">
        <f>Tabla15[[#This Row],[P2 + P5]]*VLOOKUP(MONTH(Tabla15[[#This Row],[Fecha final]]),Tabla20[#All],6,FALSE)</f>
        <v>0</v>
      </c>
      <c r="M37" s="16">
        <f>Tabla15[[#This Row],[P3 + P6]]*VLOOKUP(MONTH(Tabla15[[#This Row],[Fecha final]]),Tabla20[#All],7,FALSE)</f>
        <v>824.44799999999998</v>
      </c>
      <c r="N37" s="16">
        <f>YEAR(Tabla15[[#This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1261</v>
      </c>
      <c r="F38" s="16">
        <v>673</v>
      </c>
      <c r="G38" s="16">
        <v>664</v>
      </c>
      <c r="H38" s="16">
        <f>Tabla15[[#This Row],[P1 + P4]]*VLOOKUP(MONTH(Tabla15[[#This Row],[Fecha final]]),Tabla20[#All],2,FALSE)</f>
        <v>1261</v>
      </c>
      <c r="I38" s="16">
        <f>Tabla15[[#This Row],[P2 + P5]]*VLOOKUP(MONTH(Tabla15[[#This Row],[Fecha final]]),Tabla20[#All],3,FALSE)</f>
        <v>673</v>
      </c>
      <c r="J38" s="16">
        <f>(Tabla15[[#This Row],[P3 + P6]])*VLOOKUP(MONTH(Tabla15[[#This Row],[Fecha final]]),Tabla20[#All],4,FALSE)</f>
        <v>0</v>
      </c>
      <c r="K38" s="16">
        <f>Tabla15[[#This Row],[P1 + P4]]*VLOOKUP(MONTH(Tabla15[[#This Row],[Fecha final]]),Tabla20[#All],5,FALSE)</f>
        <v>0</v>
      </c>
      <c r="L38" s="16">
        <f>Tabla15[[#This Row],[P2 + P5]]*VLOOKUP(MONTH(Tabla15[[#This Row],[Fecha final]]),Tabla20[#All],6,FALSE)</f>
        <v>0</v>
      </c>
      <c r="M38" s="16">
        <f>Tabla15[[#This Row],[P3 + P6]]*VLOOKUP(MONTH(Tabla15[[#This Row],[Fecha final]]),Tabla20[#All],7,FALSE)</f>
        <v>664</v>
      </c>
      <c r="N38" s="16">
        <f>YEAR(Tabla15[[#This Row],[Fecha final]])</f>
        <v>2022</v>
      </c>
    </row>
    <row r="39" spans="1:14">
      <c r="A39" s="17">
        <v>44926</v>
      </c>
      <c r="B39" s="17">
        <v>44957</v>
      </c>
      <c r="C39" s="16">
        <v>31</v>
      </c>
      <c r="D39" s="16" t="s">
        <v>42</v>
      </c>
      <c r="E39" s="16">
        <v>1588</v>
      </c>
      <c r="F39" s="16">
        <v>799</v>
      </c>
      <c r="G39" s="16">
        <v>859</v>
      </c>
      <c r="H39" s="16">
        <f>Tabla15[[#This Row],[P1 + P4]]*VLOOKUP(MONTH(Tabla15[[#This Row],[Fecha final]]),Tabla20[#All],2,FALSE)</f>
        <v>1588</v>
      </c>
      <c r="I39" s="16">
        <f>Tabla15[[#This Row],[P2 + P5]]*VLOOKUP(MONTH(Tabla15[[#This Row],[Fecha final]]),Tabla20[#All],3,FALSE)</f>
        <v>799</v>
      </c>
      <c r="J39" s="16">
        <f>(Tabla15[[#This Row],[P3 + P6]])*VLOOKUP(MONTH(Tabla15[[#This Row],[Fecha final]]),Tabla20[#All],4,FALSE)</f>
        <v>0</v>
      </c>
      <c r="K39" s="16">
        <f>Tabla15[[#This Row],[P1 + P4]]*VLOOKUP(MONTH(Tabla15[[#This Row],[Fecha final]]),Tabla20[#All],5,FALSE)</f>
        <v>0</v>
      </c>
      <c r="L39" s="16">
        <f>Tabla15[[#This Row],[P2 + P5]]*VLOOKUP(MONTH(Tabla15[[#This Row],[Fecha final]]),Tabla20[#All],6,FALSE)</f>
        <v>0</v>
      </c>
      <c r="M39" s="16">
        <f>Tabla15[[#This Row],[P3 + P6]]*VLOOKUP(MONTH(Tabla15[[#This Row],[Fecha final]]),Tabla20[#All],7,FALSE)</f>
        <v>859</v>
      </c>
      <c r="N39" s="16">
        <f>YEAR(Tabla15[[#This Row],[Fecha final]])</f>
        <v>2023</v>
      </c>
    </row>
    <row r="40" spans="1:14">
      <c r="A40" s="17">
        <v>44957</v>
      </c>
      <c r="B40" s="17">
        <v>44985</v>
      </c>
      <c r="C40" s="16">
        <v>28</v>
      </c>
      <c r="D40" s="16" t="s">
        <v>42</v>
      </c>
      <c r="E40" s="16">
        <v>1509</v>
      </c>
      <c r="F40" s="16">
        <v>728</v>
      </c>
      <c r="G40" s="16">
        <v>600</v>
      </c>
      <c r="H40" s="16">
        <f>Tabla15[[#This Row],[P1 + P4]]*VLOOKUP(MONTH(Tabla15[[#This Row],[Fecha final]]),Tabla20[#All],2,FALSE)</f>
        <v>1509</v>
      </c>
      <c r="I40" s="16">
        <f>Tabla15[[#This Row],[P2 + P5]]*VLOOKUP(MONTH(Tabla15[[#This Row],[Fecha final]]),Tabla20[#All],3,FALSE)</f>
        <v>728</v>
      </c>
      <c r="J40" s="16">
        <f>(Tabla15[[#This Row],[P3 + P6]])*VLOOKUP(MONTH(Tabla15[[#This Row],[Fecha final]]),Tabla20[#All],4,FALSE)</f>
        <v>0</v>
      </c>
      <c r="K40" s="16">
        <f>Tabla15[[#This Row],[P1 + P4]]*VLOOKUP(MONTH(Tabla15[[#This Row],[Fecha final]]),Tabla20[#All],5,FALSE)</f>
        <v>0</v>
      </c>
      <c r="L40" s="16">
        <f>Tabla15[[#This Row],[P2 + P5]]*VLOOKUP(MONTH(Tabla15[[#This Row],[Fecha final]]),Tabla20[#All],6,FALSE)</f>
        <v>0</v>
      </c>
      <c r="M40" s="16">
        <f>Tabla15[[#This Row],[P3 + P6]]*VLOOKUP(MONTH(Tabla15[[#This Row],[Fecha final]]),Tabla20[#All],7,FALSE)</f>
        <v>600</v>
      </c>
      <c r="N40" s="16">
        <f>YEAR(Tabla15[[#This Row],[Fecha final]])</f>
        <v>2023</v>
      </c>
    </row>
    <row r="41" spans="1:14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845</v>
      </c>
      <c r="G41" s="16">
        <v>1016</v>
      </c>
      <c r="H41" s="16">
        <f>Tabla15[[#This Row],[P1 + P4]]*VLOOKUP(MONTH(Tabla15[[#This Row],[Fecha final]]),Tabla20[#All],2,FALSE)</f>
        <v>0</v>
      </c>
      <c r="I41" s="16">
        <f>Tabla15[[#This Row],[P2 + P5]]*VLOOKUP(MONTH(Tabla15[[#This Row],[Fecha final]]),Tabla20[#All],3,FALSE)</f>
        <v>845</v>
      </c>
      <c r="J41" s="16">
        <f>(Tabla15[[#This Row],[P3 + P6]])*VLOOKUP(MONTH(Tabla15[[#This Row],[Fecha final]]),Tabla20[#All],4,FALSE)</f>
        <v>304.59680000000003</v>
      </c>
      <c r="K41" s="16">
        <f>Tabla15[[#This Row],[P1 + P4]]*VLOOKUP(MONTH(Tabla15[[#This Row],[Fecha final]]),Tabla20[#All],5,FALSE)</f>
        <v>0</v>
      </c>
      <c r="L41" s="16">
        <f>Tabla15[[#This Row],[P2 + P5]]*VLOOKUP(MONTH(Tabla15[[#This Row],[Fecha final]]),Tabla20[#All],6,FALSE)</f>
        <v>0</v>
      </c>
      <c r="M41" s="16">
        <f>Tabla15[[#This Row],[P3 + P6]]*VLOOKUP(MONTH(Tabla15[[#This Row],[Fecha final]]),Tabla20[#All],7,FALSE)</f>
        <v>711.40320000000008</v>
      </c>
      <c r="N41" s="16">
        <f>YEAR(Tabla15[[#This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13</v>
      </c>
      <c r="F70" s="16">
        <v>33</v>
      </c>
      <c r="G70" s="16">
        <v>15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8</v>
      </c>
      <c r="F71" s="16">
        <v>22</v>
      </c>
      <c r="G71" s="16">
        <v>11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8</v>
      </c>
      <c r="F72" s="16">
        <v>24</v>
      </c>
      <c r="G72" s="16">
        <v>9</v>
      </c>
    </row>
    <row r="73" spans="1:7">
      <c r="A73" s="16" t="s">
        <v>150</v>
      </c>
      <c r="B73" s="16" t="s">
        <v>47</v>
      </c>
      <c r="C73" s="16">
        <v>23</v>
      </c>
      <c r="D73" s="16" t="s">
        <v>42</v>
      </c>
      <c r="E73" s="16">
        <v>2</v>
      </c>
      <c r="F73" s="16">
        <v>16</v>
      </c>
      <c r="G73" s="16">
        <v>2</v>
      </c>
    </row>
    <row r="74" spans="1:7">
      <c r="A74" s="16" t="s">
        <v>45</v>
      </c>
      <c r="B74" s="16" t="s">
        <v>150</v>
      </c>
      <c r="C74" s="16">
        <v>36</v>
      </c>
      <c r="D74" s="16" t="s">
        <v>42</v>
      </c>
      <c r="E74" s="16">
        <v>5</v>
      </c>
      <c r="F74" s="16">
        <v>21</v>
      </c>
      <c r="G74" s="16">
        <v>3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2</v>
      </c>
      <c r="F75" s="16">
        <v>25</v>
      </c>
      <c r="G75" s="16">
        <v>5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3</v>
      </c>
      <c r="F76" s="16">
        <v>21</v>
      </c>
      <c r="G76" s="16">
        <v>4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12</v>
      </c>
      <c r="F77" s="16">
        <v>22</v>
      </c>
      <c r="G77" s="16">
        <v>3</v>
      </c>
    </row>
    <row r="78" spans="1:7">
      <c r="A78" s="16" t="s">
        <v>78</v>
      </c>
      <c r="B78" s="16" t="s">
        <v>41</v>
      </c>
      <c r="C78" s="16">
        <v>30</v>
      </c>
      <c r="D78" s="16" t="s">
        <v>42</v>
      </c>
      <c r="E78" s="16">
        <v>62</v>
      </c>
      <c r="F78" s="16">
        <v>107</v>
      </c>
      <c r="G78" s="16">
        <v>3</v>
      </c>
    </row>
    <row r="79" spans="1:7">
      <c r="A79" s="16" t="s">
        <v>88</v>
      </c>
      <c r="B79" s="16" t="s">
        <v>78</v>
      </c>
      <c r="C79" s="16">
        <v>31</v>
      </c>
      <c r="D79" s="16" t="s">
        <v>42</v>
      </c>
      <c r="E79" s="16">
        <v>41</v>
      </c>
      <c r="F79" s="16">
        <v>68</v>
      </c>
      <c r="G79" s="16">
        <v>3</v>
      </c>
    </row>
    <row r="80" spans="1:7">
      <c r="A80" s="16" t="s">
        <v>89</v>
      </c>
      <c r="B80" s="16" t="s">
        <v>88</v>
      </c>
      <c r="C80" s="16">
        <v>31</v>
      </c>
      <c r="D80" s="16" t="s">
        <v>42</v>
      </c>
      <c r="E80" s="16">
        <v>58</v>
      </c>
      <c r="F80" s="16">
        <v>98</v>
      </c>
      <c r="G80" s="16">
        <v>2</v>
      </c>
    </row>
    <row r="81" spans="1:7">
      <c r="A81" s="16" t="s">
        <v>91</v>
      </c>
      <c r="B81" s="16" t="s">
        <v>89</v>
      </c>
      <c r="C81" s="16">
        <v>30</v>
      </c>
      <c r="D81" s="16" t="s">
        <v>42</v>
      </c>
      <c r="E81" s="16">
        <v>52</v>
      </c>
      <c r="F81" s="16">
        <v>71</v>
      </c>
      <c r="G81" s="16">
        <v>4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50</v>
      </c>
      <c r="C87" s="16">
        <v>50</v>
      </c>
      <c r="D87" s="16">
        <v>50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17</v>
      </c>
      <c r="G89" s="16">
        <v>17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18</v>
      </c>
      <c r="F90" s="16">
        <v>17</v>
      </c>
      <c r="G90" s="16">
        <v>16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19</v>
      </c>
      <c r="F91" s="16">
        <v>17</v>
      </c>
      <c r="G91" s="16">
        <v>16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17</v>
      </c>
      <c r="F92" s="16">
        <v>17</v>
      </c>
      <c r="G92" s="16">
        <v>16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17</v>
      </c>
      <c r="G93" s="16">
        <v>16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4</v>
      </c>
      <c r="F94" s="16">
        <v>4</v>
      </c>
      <c r="G94" s="16">
        <v>2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10</v>
      </c>
      <c r="F95" s="16">
        <v>0</v>
      </c>
      <c r="G95" s="16">
        <v>9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10</v>
      </c>
      <c r="F96" s="16">
        <v>0</v>
      </c>
      <c r="G96" s="16">
        <v>10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11</v>
      </c>
      <c r="F97" s="16">
        <v>11</v>
      </c>
      <c r="G97" s="16">
        <v>8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9</v>
      </c>
      <c r="F98" s="16">
        <v>0</v>
      </c>
      <c r="G98" s="16">
        <v>9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24</v>
      </c>
      <c r="F99" s="16">
        <v>28</v>
      </c>
      <c r="G99" s="16">
        <v>21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29</v>
      </c>
      <c r="F100" s="16">
        <v>29</v>
      </c>
      <c r="G100" s="16">
        <v>28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20</v>
      </c>
      <c r="G101" s="16">
        <v>30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21</v>
      </c>
      <c r="F102" s="16">
        <v>30</v>
      </c>
      <c r="G102" s="16">
        <v>28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30</v>
      </c>
      <c r="F103" s="16">
        <v>30</v>
      </c>
      <c r="G103" s="16">
        <v>28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42.5</v>
      </c>
      <c r="F104" s="16">
        <v>42.5</v>
      </c>
      <c r="G104" s="16">
        <v>42.5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42.5</v>
      </c>
      <c r="F105" s="16">
        <v>42.5</v>
      </c>
      <c r="G105" s="16">
        <v>42.5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28</v>
      </c>
      <c r="G106" s="16">
        <v>30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11</v>
      </c>
      <c r="F107" s="16">
        <v>11</v>
      </c>
      <c r="G107" s="16">
        <v>6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12</v>
      </c>
      <c r="F108" s="16">
        <v>0</v>
      </c>
      <c r="G108" s="16">
        <v>13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14</v>
      </c>
      <c r="F109" s="16">
        <v>0</v>
      </c>
      <c r="G109" s="16">
        <v>13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12</v>
      </c>
      <c r="F110" s="16">
        <v>15</v>
      </c>
      <c r="G110" s="16">
        <v>10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12</v>
      </c>
      <c r="F111" s="16">
        <v>0</v>
      </c>
      <c r="G111" s="16">
        <v>13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2</v>
      </c>
      <c r="F112" s="16">
        <v>1</v>
      </c>
      <c r="G112" s="16">
        <v>1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4</v>
      </c>
      <c r="F113" s="16">
        <v>3</v>
      </c>
      <c r="G113" s="16">
        <v>2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4</v>
      </c>
      <c r="F114" s="16">
        <v>4</v>
      </c>
      <c r="G114" s="16">
        <v>2</v>
      </c>
    </row>
    <row r="115" spans="1:7">
      <c r="A115" s="16" t="s">
        <v>150</v>
      </c>
      <c r="B115" s="16" t="s">
        <v>47</v>
      </c>
      <c r="C115" s="16">
        <v>23</v>
      </c>
      <c r="D115" s="16" t="s">
        <v>42</v>
      </c>
      <c r="E115" s="16">
        <v>9</v>
      </c>
      <c r="F115" s="16">
        <v>25</v>
      </c>
      <c r="G115" s="16">
        <v>10</v>
      </c>
    </row>
    <row r="116" spans="1:7">
      <c r="A116" s="16" t="s">
        <v>45</v>
      </c>
      <c r="B116" s="16" t="s">
        <v>150</v>
      </c>
      <c r="C116" s="16">
        <v>36</v>
      </c>
      <c r="D116" s="16" t="s">
        <v>42</v>
      </c>
      <c r="E116" s="16">
        <v>18</v>
      </c>
      <c r="F116" s="16">
        <v>30</v>
      </c>
      <c r="G116" s="16">
        <v>24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18</v>
      </c>
      <c r="F117" s="16">
        <v>30</v>
      </c>
      <c r="G117" s="16">
        <v>24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14</v>
      </c>
      <c r="F118" s="16">
        <v>32</v>
      </c>
      <c r="G118" s="16">
        <v>26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15</v>
      </c>
      <c r="F119" s="16">
        <v>31</v>
      </c>
      <c r="G119" s="16">
        <v>28</v>
      </c>
    </row>
    <row r="120" spans="1:7">
      <c r="A120" s="16" t="s">
        <v>78</v>
      </c>
      <c r="B120" s="16" t="s">
        <v>41</v>
      </c>
      <c r="C120" s="16">
        <v>30</v>
      </c>
      <c r="D120" s="16" t="s">
        <v>42</v>
      </c>
      <c r="E120" s="16">
        <v>19</v>
      </c>
      <c r="F120" s="16">
        <v>19</v>
      </c>
      <c r="G120" s="16">
        <v>18</v>
      </c>
    </row>
    <row r="121" spans="1:7">
      <c r="A121" s="16" t="s">
        <v>88</v>
      </c>
      <c r="B121" s="16" t="s">
        <v>78</v>
      </c>
      <c r="C121" s="16">
        <v>31</v>
      </c>
      <c r="D121" s="16" t="s">
        <v>42</v>
      </c>
      <c r="E121" s="16">
        <v>20</v>
      </c>
      <c r="F121" s="16">
        <v>21</v>
      </c>
      <c r="G121" s="16">
        <v>19</v>
      </c>
    </row>
    <row r="122" spans="1:7">
      <c r="A122" s="16" t="s">
        <v>89</v>
      </c>
      <c r="B122" s="16" t="s">
        <v>88</v>
      </c>
      <c r="C122" s="16">
        <v>31</v>
      </c>
      <c r="D122" s="16" t="s">
        <v>42</v>
      </c>
      <c r="E122" s="16">
        <v>16</v>
      </c>
      <c r="F122" s="16">
        <v>19</v>
      </c>
      <c r="G122" s="16">
        <v>17</v>
      </c>
    </row>
    <row r="123" spans="1:7">
      <c r="A123" s="16" t="s">
        <v>91</v>
      </c>
      <c r="B123" s="16" t="s">
        <v>89</v>
      </c>
      <c r="C123" s="16">
        <v>30</v>
      </c>
      <c r="D123" s="16" t="s">
        <v>42</v>
      </c>
      <c r="E123" s="16">
        <v>13</v>
      </c>
      <c r="F123" s="16">
        <v>14</v>
      </c>
      <c r="G123" s="16">
        <v>17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6F336-AE61-40E3-82FB-9EEE3685FCC1}">
  <dimension ref="A1:N129"/>
  <sheetViews>
    <sheetView workbookViewId="0">
      <selection activeCell="R47" sqref="R47"/>
    </sheetView>
  </sheetViews>
  <sheetFormatPr baseColWidth="10" defaultColWidth="11.5546875" defaultRowHeight="14.4"/>
  <cols>
    <col min="1" max="1" width="13.44140625" style="16" customWidth="1"/>
    <col min="2" max="2" width="12.33203125" style="16" customWidth="1"/>
    <col min="3" max="16384" width="11.5546875" style="16"/>
  </cols>
  <sheetData>
    <row r="1" spans="1:14">
      <c r="A1" s="16" t="s">
        <v>30</v>
      </c>
    </row>
    <row r="3" spans="1:14">
      <c r="A3" s="16" t="s">
        <v>151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4158</v>
      </c>
      <c r="C4" s="16">
        <v>2867</v>
      </c>
      <c r="D4" s="16">
        <v>3791</v>
      </c>
    </row>
    <row r="5" spans="1:14">
      <c r="A5" s="16" t="s">
        <v>36</v>
      </c>
      <c r="B5" s="16">
        <v>38</v>
      </c>
      <c r="C5" s="16">
        <v>27</v>
      </c>
      <c r="D5" s="16">
        <v>35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 hidden="1">
      <c r="A7" s="17">
        <v>43978</v>
      </c>
      <c r="B7" s="17">
        <v>44013</v>
      </c>
      <c r="C7" s="16">
        <v>35</v>
      </c>
      <c r="D7" s="16" t="s">
        <v>42</v>
      </c>
      <c r="E7" s="16">
        <v>132</v>
      </c>
      <c r="F7" s="16">
        <v>225</v>
      </c>
      <c r="G7" s="16">
        <v>108</v>
      </c>
      <c r="H7" s="16">
        <f>Tabla16[[#This Row],[P1 + P4]]*VLOOKUP(MONTH(Tabla16[[#This Row],[Fecha final]]),Tabla20[#All],2,FALSE)</f>
        <v>132</v>
      </c>
      <c r="I7" s="16">
        <f>Tabla16[[#This Row],[P2 + P5]]*VLOOKUP(MONTH(Tabla16[[#This Row],[Fecha final]]),Tabla20[#All],3,FALSE)</f>
        <v>225</v>
      </c>
      <c r="J7" s="16">
        <f>(Tabla16[[#This Row],[P3 + P6]])*VLOOKUP(MONTH(Tabla16[[#This Row],[Fecha final]]),Tabla20[#All],4,FALSE)</f>
        <v>0</v>
      </c>
      <c r="K7" s="16">
        <f>Tabla16[[#This Row],[P1 + P4]]*VLOOKUP(MONTH(Tabla16[[#This Row],[Fecha final]]),Tabla20[#All],5,FALSE)</f>
        <v>0</v>
      </c>
      <c r="L7" s="16">
        <f>Tabla16[[#This Row],[P2 + P5]]*VLOOKUP(MONTH(Tabla16[[#This Row],[Fecha final]]),Tabla20[#All],6,FALSE)</f>
        <v>0</v>
      </c>
      <c r="M7" s="16">
        <f>Tabla16[[#This Row],[P3 + P6]]*VLOOKUP(MONTH(Tabla16[[#This Row],[Fecha final]]),Tabla20[#All],7,FALSE)</f>
        <v>108</v>
      </c>
      <c r="N7" s="16">
        <f>YEAR(Tabla16[[#This Row],[Fecha final]])</f>
        <v>2020</v>
      </c>
    </row>
    <row r="8" spans="1:14" hidden="1">
      <c r="A8" s="17">
        <v>44013</v>
      </c>
      <c r="B8" s="17">
        <v>44046</v>
      </c>
      <c r="C8" s="16">
        <v>33</v>
      </c>
      <c r="D8" s="16" t="s">
        <v>42</v>
      </c>
      <c r="E8" s="16">
        <v>331</v>
      </c>
      <c r="F8" s="16">
        <v>419</v>
      </c>
      <c r="G8" s="16">
        <v>105</v>
      </c>
      <c r="H8" s="16">
        <f>Tabla16[[#This Row],[P1 + P4]]*VLOOKUP(MONTH(Tabla16[[#This Row],[Fecha final]]),Tabla20[#All],2,FALSE)</f>
        <v>0</v>
      </c>
      <c r="I8" s="16">
        <f>Tabla16[[#This Row],[P2 + P5]]*VLOOKUP(MONTH(Tabla16[[#This Row],[Fecha final]]),Tabla20[#All],3,FALSE)</f>
        <v>0</v>
      </c>
      <c r="J8" s="16">
        <f>(Tabla16[[#This Row],[P3 + P6]])*VLOOKUP(MONTH(Tabla16[[#This Row],[Fecha final]]),Tabla20[#All],4,FALSE)</f>
        <v>35.238</v>
      </c>
      <c r="K8" s="16">
        <f>Tabla16[[#This Row],[P1 + P4]]*VLOOKUP(MONTH(Tabla16[[#This Row],[Fecha final]]),Tabla20[#All],5,FALSE)</f>
        <v>331</v>
      </c>
      <c r="L8" s="16">
        <f>Tabla16[[#This Row],[P2 + P5]]*VLOOKUP(MONTH(Tabla16[[#This Row],[Fecha final]]),Tabla20[#All],6,FALSE)</f>
        <v>0</v>
      </c>
      <c r="M8" s="16">
        <f>Tabla16[[#This Row],[P3 + P6]]*VLOOKUP(MONTH(Tabla16[[#This Row],[Fecha final]]),Tabla20[#All],7,FALSE)</f>
        <v>69.762</v>
      </c>
      <c r="N8" s="16">
        <f>YEAR(Tabla16[[#This Row],[Fecha final]])</f>
        <v>2020</v>
      </c>
    </row>
    <row r="9" spans="1:14" hidden="1">
      <c r="A9" s="17">
        <v>44046</v>
      </c>
      <c r="B9" s="17">
        <v>44075</v>
      </c>
      <c r="C9" s="16">
        <v>29</v>
      </c>
      <c r="D9" s="16" t="s">
        <v>42</v>
      </c>
      <c r="E9" s="16">
        <v>179</v>
      </c>
      <c r="F9" s="16">
        <v>172</v>
      </c>
      <c r="G9" s="16">
        <v>119</v>
      </c>
      <c r="H9" s="16">
        <f>Tabla16[[#This Row],[P1 + P4]]*VLOOKUP(MONTH(Tabla16[[#This Row],[Fecha final]]),Tabla20[#All],2,FALSE)</f>
        <v>0</v>
      </c>
      <c r="I9" s="16">
        <f>Tabla16[[#This Row],[P2 + P5]]*VLOOKUP(MONTH(Tabla16[[#This Row],[Fecha final]]),Tabla20[#All],3,FALSE)</f>
        <v>0</v>
      </c>
      <c r="J9" s="16">
        <f>(Tabla16[[#This Row],[P3 + P6]])*VLOOKUP(MONTH(Tabla16[[#This Row],[Fecha final]]),Tabla20[#All],4,FALSE)</f>
        <v>41.626199999999997</v>
      </c>
      <c r="K9" s="16">
        <f>Tabla16[[#This Row],[P1 + P4]]*VLOOKUP(MONTH(Tabla16[[#This Row],[Fecha final]]),Tabla20[#All],5,FALSE)</f>
        <v>179</v>
      </c>
      <c r="L9" s="16">
        <f>Tabla16[[#This Row],[P2 + P5]]*VLOOKUP(MONTH(Tabla16[[#This Row],[Fecha final]]),Tabla20[#All],6,FALSE)</f>
        <v>0</v>
      </c>
      <c r="M9" s="16">
        <f>Tabla16[[#This Row],[P3 + P6]]*VLOOKUP(MONTH(Tabla16[[#This Row],[Fecha final]]),Tabla20[#All],7,FALSE)</f>
        <v>77.373800000000003</v>
      </c>
      <c r="N9" s="16">
        <f>YEAR(Tabla16[[#This Row],[Fecha final]])</f>
        <v>2020</v>
      </c>
    </row>
    <row r="10" spans="1:14" hidden="1">
      <c r="A10" s="17">
        <v>44075</v>
      </c>
      <c r="B10" s="17">
        <v>44104</v>
      </c>
      <c r="C10" s="16">
        <v>29</v>
      </c>
      <c r="D10" s="16" t="s">
        <v>42</v>
      </c>
      <c r="E10" s="16">
        <v>107</v>
      </c>
      <c r="F10" s="16">
        <v>296</v>
      </c>
      <c r="G10" s="16">
        <v>103</v>
      </c>
      <c r="H10" s="16">
        <f>Tabla16[[#This Row],[P1 + P4]]*VLOOKUP(MONTH(Tabla16[[#This Row],[Fecha final]]),Tabla20[#All],2,FALSE)</f>
        <v>0</v>
      </c>
      <c r="I10" s="16">
        <f>Tabla16[[#This Row],[P2 + P5]]*VLOOKUP(MONTH(Tabla16[[#This Row],[Fecha final]]),Tabla20[#All],3,FALSE)</f>
        <v>0</v>
      </c>
      <c r="J10" s="16">
        <f>(Tabla16[[#This Row],[P3 + P6]])*VLOOKUP(MONTH(Tabla16[[#This Row],[Fecha final]]),Tabla20[#All],4,FALSE)</f>
        <v>36.029400000000003</v>
      </c>
      <c r="K10" s="16">
        <f>Tabla16[[#This Row],[P1 + P4]]*VLOOKUP(MONTH(Tabla16[[#This Row],[Fecha final]]),Tabla20[#All],5,FALSE)</f>
        <v>107</v>
      </c>
      <c r="L10" s="16">
        <f>Tabla16[[#This Row],[P2 + P5]]*VLOOKUP(MONTH(Tabla16[[#This Row],[Fecha final]]),Tabla20[#All],6,FALSE)</f>
        <v>0</v>
      </c>
      <c r="M10" s="16">
        <f>Tabla16[[#This Row],[P3 + P6]]*VLOOKUP(MONTH(Tabla16[[#This Row],[Fecha final]]),Tabla20[#All],7,FALSE)</f>
        <v>66.970600000000005</v>
      </c>
      <c r="N10" s="16">
        <f>YEAR(Tabla16[[#This Row],[Fecha final]])</f>
        <v>2020</v>
      </c>
    </row>
    <row r="11" spans="1:14" hidden="1">
      <c r="A11" s="17">
        <v>44104</v>
      </c>
      <c r="B11" s="17">
        <v>44135</v>
      </c>
      <c r="C11" s="16">
        <v>31</v>
      </c>
      <c r="D11" s="16" t="s">
        <v>42</v>
      </c>
      <c r="E11" s="16">
        <v>172</v>
      </c>
      <c r="F11" s="16">
        <v>472</v>
      </c>
      <c r="G11" s="16">
        <v>125</v>
      </c>
      <c r="H11" s="16">
        <f>Tabla16[[#This Row],[P1 + P4]]*VLOOKUP(MONTH(Tabla16[[#This Row],[Fecha final]]),Tabla20[#All],2,FALSE)</f>
        <v>0</v>
      </c>
      <c r="I11" s="16">
        <f>Tabla16[[#This Row],[P2 + P5]]*VLOOKUP(MONTH(Tabla16[[#This Row],[Fecha final]]),Tabla20[#All],3,FALSE)</f>
        <v>0</v>
      </c>
      <c r="J11" s="16">
        <f>(Tabla16[[#This Row],[P3 + P6]])*VLOOKUP(MONTH(Tabla16[[#This Row],[Fecha final]]),Tabla20[#All],4,FALSE)</f>
        <v>0</v>
      </c>
      <c r="K11" s="16">
        <f>Tabla16[[#This Row],[P1 + P4]]*VLOOKUP(MONTH(Tabla16[[#This Row],[Fecha final]]),Tabla20[#All],5,FALSE)</f>
        <v>172</v>
      </c>
      <c r="L11" s="16">
        <f>Tabla16[[#This Row],[P2 + P5]]*VLOOKUP(MONTH(Tabla16[[#This Row],[Fecha final]]),Tabla20[#All],6,FALSE)</f>
        <v>472</v>
      </c>
      <c r="M11" s="16">
        <f>Tabla16[[#This Row],[P3 + P6]]*VLOOKUP(MONTH(Tabla16[[#This Row],[Fecha final]]),Tabla20[#All],7,FALSE)</f>
        <v>125</v>
      </c>
      <c r="N11" s="16">
        <f>YEAR(Tabla16[[#This Row],[Fecha final]])</f>
        <v>2020</v>
      </c>
    </row>
    <row r="12" spans="1:14" hidden="1">
      <c r="A12" s="17">
        <v>44135</v>
      </c>
      <c r="B12" s="17">
        <v>44165</v>
      </c>
      <c r="C12" s="16">
        <v>30</v>
      </c>
      <c r="D12" s="16" t="s">
        <v>42</v>
      </c>
      <c r="E12" s="16">
        <v>120</v>
      </c>
      <c r="F12" s="16">
        <v>743</v>
      </c>
      <c r="G12" s="16">
        <v>100</v>
      </c>
      <c r="H12" s="16">
        <f>Tabla16[[#This Row],[P1 + P4]]*VLOOKUP(MONTH(Tabla16[[#This Row],[Fecha final]]),Tabla20[#All],2,FALSE)</f>
        <v>0</v>
      </c>
      <c r="I12" s="16">
        <f>Tabla16[[#This Row],[P2 + P5]]*VLOOKUP(MONTH(Tabla16[[#This Row],[Fecha final]]),Tabla20[#All],3,FALSE)</f>
        <v>743</v>
      </c>
      <c r="J12" s="16">
        <f>(Tabla16[[#This Row],[P3 + P6]])*VLOOKUP(MONTH(Tabla16[[#This Row],[Fecha final]]),Tabla20[#All],4,FALSE)</f>
        <v>27.68</v>
      </c>
      <c r="K12" s="16">
        <f>Tabla16[[#This Row],[P1 + P4]]*VLOOKUP(MONTH(Tabla16[[#This Row],[Fecha final]]),Tabla20[#All],5,FALSE)</f>
        <v>0</v>
      </c>
      <c r="L12" s="16">
        <f>Tabla16[[#This Row],[P2 + P5]]*VLOOKUP(MONTH(Tabla16[[#This Row],[Fecha final]]),Tabla20[#All],6,FALSE)</f>
        <v>0</v>
      </c>
      <c r="M12" s="16">
        <f>Tabla16[[#This Row],[P3 + P6]]*VLOOKUP(MONTH(Tabla16[[#This Row],[Fecha final]]),Tabla20[#All],7,FALSE)</f>
        <v>72.319999999999993</v>
      </c>
      <c r="N12" s="16">
        <f>YEAR(Tabla16[[#This Row],[Fecha final]])</f>
        <v>2020</v>
      </c>
    </row>
    <row r="13" spans="1:14" hidden="1">
      <c r="A13" s="17">
        <v>44165</v>
      </c>
      <c r="B13" s="17">
        <v>44196</v>
      </c>
      <c r="C13" s="16">
        <v>31</v>
      </c>
      <c r="D13" s="16" t="s">
        <v>42</v>
      </c>
      <c r="E13" s="16">
        <v>124</v>
      </c>
      <c r="F13" s="16">
        <v>1205</v>
      </c>
      <c r="G13" s="16">
        <v>117</v>
      </c>
      <c r="H13" s="16">
        <f>Tabla16[[#This Row],[P1 + P4]]*VLOOKUP(MONTH(Tabla16[[#This Row],[Fecha final]]),Tabla20[#All],2,FALSE)</f>
        <v>124</v>
      </c>
      <c r="I13" s="16">
        <f>Tabla16[[#This Row],[P2 + P5]]*VLOOKUP(MONTH(Tabla16[[#This Row],[Fecha final]]),Tabla20[#All],3,FALSE)</f>
        <v>1205</v>
      </c>
      <c r="J13" s="16">
        <f>(Tabla16[[#This Row],[P3 + P6]])*VLOOKUP(MONTH(Tabla16[[#This Row],[Fecha final]]),Tabla20[#All],4,FALSE)</f>
        <v>0</v>
      </c>
      <c r="K13" s="16">
        <f>Tabla16[[#This Row],[P1 + P4]]*VLOOKUP(MONTH(Tabla16[[#This Row],[Fecha final]]),Tabla20[#All],5,FALSE)</f>
        <v>0</v>
      </c>
      <c r="L13" s="16">
        <f>Tabla16[[#This Row],[P2 + P5]]*VLOOKUP(MONTH(Tabla16[[#This Row],[Fecha final]]),Tabla20[#All],6,FALSE)</f>
        <v>0</v>
      </c>
      <c r="M13" s="16">
        <f>Tabla16[[#This Row],[P3 + P6]]*VLOOKUP(MONTH(Tabla16[[#This Row],[Fecha final]]),Tabla20[#All],7,FALSE)</f>
        <v>117</v>
      </c>
      <c r="N13" s="16">
        <f>YEAR(Tabla16[[#This Row],[Fecha final]])</f>
        <v>2020</v>
      </c>
    </row>
    <row r="14" spans="1:14" hidden="1">
      <c r="A14" s="17">
        <v>44196</v>
      </c>
      <c r="B14" s="17">
        <v>44227</v>
      </c>
      <c r="C14" s="16">
        <v>31</v>
      </c>
      <c r="D14" s="16" t="s">
        <v>42</v>
      </c>
      <c r="E14" s="16">
        <v>120</v>
      </c>
      <c r="F14" s="16">
        <v>1228</v>
      </c>
      <c r="G14" s="16">
        <v>125</v>
      </c>
      <c r="H14" s="16">
        <f>Tabla16[[#This Row],[P1 + P4]]*VLOOKUP(MONTH(Tabla16[[#This Row],[Fecha final]]),Tabla20[#All],2,FALSE)</f>
        <v>120</v>
      </c>
      <c r="I14" s="16">
        <f>Tabla16[[#This Row],[P2 + P5]]*VLOOKUP(MONTH(Tabla16[[#This Row],[Fecha final]]),Tabla20[#All],3,FALSE)</f>
        <v>1228</v>
      </c>
      <c r="J14" s="16">
        <f>(Tabla16[[#This Row],[P3 + P6]])*VLOOKUP(MONTH(Tabla16[[#This Row],[Fecha final]]),Tabla20[#All],4,FALSE)</f>
        <v>0</v>
      </c>
      <c r="K14" s="16">
        <f>Tabla16[[#This Row],[P1 + P4]]*VLOOKUP(MONTH(Tabla16[[#This Row],[Fecha final]]),Tabla20[#All],5,FALSE)</f>
        <v>0</v>
      </c>
      <c r="L14" s="16">
        <f>Tabla16[[#This Row],[P2 + P5]]*VLOOKUP(MONTH(Tabla16[[#This Row],[Fecha final]]),Tabla20[#All],6,FALSE)</f>
        <v>0</v>
      </c>
      <c r="M14" s="16">
        <f>Tabla16[[#This Row],[P3 + P6]]*VLOOKUP(MONTH(Tabla16[[#This Row],[Fecha final]]),Tabla20[#All],7,FALSE)</f>
        <v>125</v>
      </c>
      <c r="N14" s="16">
        <f>YEAR(Tabla16[[#This Row],[Fecha final]])</f>
        <v>2021</v>
      </c>
    </row>
    <row r="15" spans="1:14" hidden="1">
      <c r="A15" s="17">
        <v>44227</v>
      </c>
      <c r="B15" s="17">
        <v>44255</v>
      </c>
      <c r="C15" s="16">
        <v>28</v>
      </c>
      <c r="D15" s="16" t="s">
        <v>42</v>
      </c>
      <c r="E15" s="16">
        <v>123</v>
      </c>
      <c r="F15" s="16">
        <v>1175</v>
      </c>
      <c r="G15" s="16">
        <v>110</v>
      </c>
      <c r="H15" s="16">
        <f>Tabla16[[#This Row],[P1 + P4]]*VLOOKUP(MONTH(Tabla16[[#This Row],[Fecha final]]),Tabla20[#All],2,FALSE)</f>
        <v>123</v>
      </c>
      <c r="I15" s="16">
        <f>Tabla16[[#This Row],[P2 + P5]]*VLOOKUP(MONTH(Tabla16[[#This Row],[Fecha final]]),Tabla20[#All],3,FALSE)</f>
        <v>1175</v>
      </c>
      <c r="J15" s="16">
        <f>(Tabla16[[#This Row],[P3 + P6]])*VLOOKUP(MONTH(Tabla16[[#This Row],[Fecha final]]),Tabla20[#All],4,FALSE)</f>
        <v>0</v>
      </c>
      <c r="K15" s="16">
        <f>Tabla16[[#This Row],[P1 + P4]]*VLOOKUP(MONTH(Tabla16[[#This Row],[Fecha final]]),Tabla20[#All],5,FALSE)</f>
        <v>0</v>
      </c>
      <c r="L15" s="16">
        <f>Tabla16[[#This Row],[P2 + P5]]*VLOOKUP(MONTH(Tabla16[[#This Row],[Fecha final]]),Tabla20[#All],6,FALSE)</f>
        <v>0</v>
      </c>
      <c r="M15" s="16">
        <f>Tabla16[[#This Row],[P3 + P6]]*VLOOKUP(MONTH(Tabla16[[#This Row],[Fecha final]]),Tabla20[#All],7,FALSE)</f>
        <v>110</v>
      </c>
      <c r="N15" s="16">
        <f>YEAR(Tabla16[[#This Row],[Fecha final]])</f>
        <v>2021</v>
      </c>
    </row>
    <row r="16" spans="1:14" hidden="1">
      <c r="A16" s="17">
        <v>44255</v>
      </c>
      <c r="B16" s="17">
        <v>44286</v>
      </c>
      <c r="C16" s="16">
        <v>31</v>
      </c>
      <c r="D16" s="16" t="s">
        <v>42</v>
      </c>
      <c r="E16" s="16">
        <v>138</v>
      </c>
      <c r="F16" s="16">
        <v>1105</v>
      </c>
      <c r="G16" s="16">
        <v>138</v>
      </c>
      <c r="H16" s="16">
        <f>Tabla16[[#This Row],[P1 + P4]]*VLOOKUP(MONTH(Tabla16[[#This Row],[Fecha final]]),Tabla20[#All],2,FALSE)</f>
        <v>0</v>
      </c>
      <c r="I16" s="16">
        <f>Tabla16[[#This Row],[P2 + P5]]*VLOOKUP(MONTH(Tabla16[[#This Row],[Fecha final]]),Tabla20[#All],3,FALSE)</f>
        <v>1105</v>
      </c>
      <c r="J16" s="16">
        <f>(Tabla16[[#This Row],[P3 + P6]])*VLOOKUP(MONTH(Tabla16[[#This Row],[Fecha final]]),Tabla20[#All],4,FALSE)</f>
        <v>41.372399999999999</v>
      </c>
      <c r="K16" s="16">
        <f>Tabla16[[#This Row],[P1 + P4]]*VLOOKUP(MONTH(Tabla16[[#This Row],[Fecha final]]),Tabla20[#All],5,FALSE)</f>
        <v>0</v>
      </c>
      <c r="L16" s="16">
        <f>Tabla16[[#This Row],[P2 + P5]]*VLOOKUP(MONTH(Tabla16[[#This Row],[Fecha final]]),Tabla20[#All],6,FALSE)</f>
        <v>0</v>
      </c>
      <c r="M16" s="16">
        <f>Tabla16[[#This Row],[P3 + P6]]*VLOOKUP(MONTH(Tabla16[[#This Row],[Fecha final]]),Tabla20[#All],7,FALSE)</f>
        <v>96.627600000000001</v>
      </c>
      <c r="N16" s="16">
        <f>YEAR(Tabla16[[#This Row],[Fecha final]])</f>
        <v>2021</v>
      </c>
    </row>
    <row r="17" spans="1:14" hidden="1">
      <c r="A17" s="17">
        <v>44286</v>
      </c>
      <c r="B17" s="17">
        <v>44316</v>
      </c>
      <c r="C17" s="16">
        <v>30</v>
      </c>
      <c r="D17" s="16" t="s">
        <v>42</v>
      </c>
      <c r="E17" s="16">
        <v>248</v>
      </c>
      <c r="F17" s="16">
        <v>567</v>
      </c>
      <c r="G17" s="16">
        <v>219</v>
      </c>
      <c r="H17" s="16">
        <f>Tabla16[[#This Row],[P1 + P4]]*VLOOKUP(MONTH(Tabla16[[#This Row],[Fecha final]]),Tabla20[#All],2,FALSE)</f>
        <v>0</v>
      </c>
      <c r="I17" s="16">
        <f>Tabla16[[#This Row],[P2 + P5]]*VLOOKUP(MONTH(Tabla16[[#This Row],[Fecha final]]),Tabla20[#All],3,FALSE)</f>
        <v>0</v>
      </c>
      <c r="J17" s="16">
        <f>(Tabla16[[#This Row],[P3 + P6]])*VLOOKUP(MONTH(Tabla16[[#This Row],[Fecha final]]),Tabla20[#All],4,FALSE)</f>
        <v>0</v>
      </c>
      <c r="K17" s="16">
        <f>Tabla16[[#This Row],[P1 + P4]]*VLOOKUP(MONTH(Tabla16[[#This Row],[Fecha final]]),Tabla20[#All],5,FALSE)</f>
        <v>248</v>
      </c>
      <c r="L17" s="16">
        <f>Tabla16[[#This Row],[P2 + P5]]*VLOOKUP(MONTH(Tabla16[[#This Row],[Fecha final]]),Tabla20[#All],6,FALSE)</f>
        <v>567</v>
      </c>
      <c r="M17" s="16">
        <f>Tabla16[[#This Row],[P3 + P6]]*VLOOKUP(MONTH(Tabla16[[#This Row],[Fecha final]]),Tabla20[#All],7,FALSE)</f>
        <v>219</v>
      </c>
      <c r="N17" s="16">
        <f>YEAR(Tabla16[[#This Row],[Fecha final]])</f>
        <v>2021</v>
      </c>
    </row>
    <row r="18" spans="1:14" hidden="1">
      <c r="A18" s="17">
        <v>44316</v>
      </c>
      <c r="B18" s="17">
        <v>44347</v>
      </c>
      <c r="C18" s="16">
        <v>31</v>
      </c>
      <c r="D18" s="16" t="s">
        <v>42</v>
      </c>
      <c r="E18" s="16">
        <v>133</v>
      </c>
      <c r="F18" s="16">
        <v>334</v>
      </c>
      <c r="G18" s="16">
        <v>150</v>
      </c>
      <c r="H18" s="16">
        <f>Tabla16[[#This Row],[P1 + P4]]*VLOOKUP(MONTH(Tabla16[[#This Row],[Fecha final]]),Tabla20[#All],2,FALSE)</f>
        <v>0</v>
      </c>
      <c r="I18" s="16">
        <f>Tabla16[[#This Row],[P2 + P5]]*VLOOKUP(MONTH(Tabla16[[#This Row],[Fecha final]]),Tabla20[#All],3,FALSE)</f>
        <v>0</v>
      </c>
      <c r="J18" s="16">
        <f>(Tabla16[[#This Row],[P3 + P6]])*VLOOKUP(MONTH(Tabla16[[#This Row],[Fecha final]]),Tabla20[#All],4,FALSE)</f>
        <v>0</v>
      </c>
      <c r="K18" s="16">
        <f>Tabla16[[#This Row],[P1 + P4]]*VLOOKUP(MONTH(Tabla16[[#This Row],[Fecha final]]),Tabla20[#All],5,FALSE)</f>
        <v>133</v>
      </c>
      <c r="L18" s="16">
        <f>Tabla16[[#This Row],[P2 + P5]]*VLOOKUP(MONTH(Tabla16[[#This Row],[Fecha final]]),Tabla20[#All],6,FALSE)</f>
        <v>334</v>
      </c>
      <c r="M18" s="16">
        <f>Tabla16[[#This Row],[P3 + P6]]*VLOOKUP(MONTH(Tabla16[[#This Row],[Fecha final]]),Tabla20[#All],7,FALSE)</f>
        <v>150</v>
      </c>
      <c r="N18" s="16">
        <f>YEAR(Tabla16[[#This Row],[Fecha final]])</f>
        <v>2021</v>
      </c>
    </row>
    <row r="19" spans="1:14" hidden="1">
      <c r="A19" s="17">
        <v>44347</v>
      </c>
      <c r="B19" s="17">
        <v>44377</v>
      </c>
      <c r="C19" s="16">
        <v>30</v>
      </c>
      <c r="D19" s="16" t="s">
        <v>42</v>
      </c>
      <c r="E19" s="16">
        <v>104</v>
      </c>
      <c r="F19" s="16">
        <v>0</v>
      </c>
      <c r="G19" s="16">
        <v>413</v>
      </c>
      <c r="H19" s="16">
        <f>Tabla16[[#This Row],[P1 + P4]]*VLOOKUP(MONTH(Tabla16[[#This Row],[Fecha final]]),Tabla20[#All],2,FALSE)</f>
        <v>0</v>
      </c>
      <c r="I19" s="16">
        <f>Tabla16[[#This Row],[P2 + P5]]*VLOOKUP(MONTH(Tabla16[[#This Row],[Fecha final]]),Tabla20[#All],3,FALSE)</f>
        <v>0</v>
      </c>
      <c r="J19" s="16">
        <f>(Tabla16[[#This Row],[P3 + P6]])*VLOOKUP(MONTH(Tabla16[[#This Row],[Fecha final]]),Tabla20[#All],4,FALSE)</f>
        <v>144.4674</v>
      </c>
      <c r="K19" s="16">
        <f>Tabla16[[#This Row],[P1 + P4]]*VLOOKUP(MONTH(Tabla16[[#This Row],[Fecha final]]),Tabla20[#All],5,FALSE)</f>
        <v>104</v>
      </c>
      <c r="L19" s="16">
        <f>Tabla16[[#This Row],[P2 + P5]]*VLOOKUP(MONTH(Tabla16[[#This Row],[Fecha final]]),Tabla20[#All],6,FALSE)</f>
        <v>0</v>
      </c>
      <c r="M19" s="16">
        <f>Tabla16[[#This Row],[P3 + P6]]*VLOOKUP(MONTH(Tabla16[[#This Row],[Fecha final]]),Tabla20[#All],7,FALSE)</f>
        <v>268.5326</v>
      </c>
      <c r="N19" s="16">
        <f>YEAR(Tabla16[[#This Row],[Fecha final]])</f>
        <v>2021</v>
      </c>
    </row>
    <row r="20" spans="1:14" hidden="1">
      <c r="A20" s="17">
        <v>44377</v>
      </c>
      <c r="B20" s="17">
        <v>44408</v>
      </c>
      <c r="C20" s="16">
        <v>31</v>
      </c>
      <c r="D20" s="16" t="s">
        <v>42</v>
      </c>
      <c r="E20" s="16">
        <v>433</v>
      </c>
      <c r="F20" s="16">
        <v>109</v>
      </c>
      <c r="G20" s="16">
        <v>173</v>
      </c>
      <c r="H20" s="16">
        <f>Tabla16[[#This Row],[P1 + P4]]*VLOOKUP(MONTH(Tabla16[[#This Row],[Fecha final]]),Tabla20[#All],2,FALSE)</f>
        <v>433</v>
      </c>
      <c r="I20" s="16">
        <f>Tabla16[[#This Row],[P2 + P5]]*VLOOKUP(MONTH(Tabla16[[#This Row],[Fecha final]]),Tabla20[#All],3,FALSE)</f>
        <v>109</v>
      </c>
      <c r="J20" s="16">
        <f>(Tabla16[[#This Row],[P3 + P6]])*VLOOKUP(MONTH(Tabla16[[#This Row],[Fecha final]]),Tabla20[#All],4,FALSE)</f>
        <v>0</v>
      </c>
      <c r="K20" s="16">
        <f>Tabla16[[#This Row],[P1 + P4]]*VLOOKUP(MONTH(Tabla16[[#This Row],[Fecha final]]),Tabla20[#All],5,FALSE)</f>
        <v>0</v>
      </c>
      <c r="L20" s="16">
        <f>Tabla16[[#This Row],[P2 + P5]]*VLOOKUP(MONTH(Tabla16[[#This Row],[Fecha final]]),Tabla20[#All],6,FALSE)</f>
        <v>0</v>
      </c>
      <c r="M20" s="16">
        <f>Tabla16[[#This Row],[P3 + P6]]*VLOOKUP(MONTH(Tabla16[[#This Row],[Fecha final]]),Tabla20[#All],7,FALSE)</f>
        <v>173</v>
      </c>
      <c r="N20" s="16">
        <f>YEAR(Tabla16[[#This Row],[Fecha final]])</f>
        <v>2021</v>
      </c>
    </row>
    <row r="21" spans="1:14" hidden="1">
      <c r="A21" s="17">
        <v>44408</v>
      </c>
      <c r="B21" s="17">
        <v>44439</v>
      </c>
      <c r="C21" s="16">
        <v>31</v>
      </c>
      <c r="D21" s="16" t="s">
        <v>42</v>
      </c>
      <c r="E21" s="16">
        <v>117</v>
      </c>
      <c r="F21" s="16">
        <v>0</v>
      </c>
      <c r="G21" s="16">
        <v>548</v>
      </c>
      <c r="H21" s="16">
        <f>Tabla16[[#This Row],[P1 + P4]]*VLOOKUP(MONTH(Tabla16[[#This Row],[Fecha final]]),Tabla20[#All],2,FALSE)</f>
        <v>0</v>
      </c>
      <c r="I21" s="16">
        <f>Tabla16[[#This Row],[P2 + P5]]*VLOOKUP(MONTH(Tabla16[[#This Row],[Fecha final]]),Tabla20[#All],3,FALSE)</f>
        <v>0</v>
      </c>
      <c r="J21" s="16">
        <f>(Tabla16[[#This Row],[P3 + P6]])*VLOOKUP(MONTH(Tabla16[[#This Row],[Fecha final]]),Tabla20[#All],4,FALSE)</f>
        <v>183.90880000000001</v>
      </c>
      <c r="K21" s="16">
        <f>Tabla16[[#This Row],[P1 + P4]]*VLOOKUP(MONTH(Tabla16[[#This Row],[Fecha final]]),Tabla20[#All],5,FALSE)</f>
        <v>117</v>
      </c>
      <c r="L21" s="16">
        <f>Tabla16[[#This Row],[P2 + P5]]*VLOOKUP(MONTH(Tabla16[[#This Row],[Fecha final]]),Tabla20[#All],6,FALSE)</f>
        <v>0</v>
      </c>
      <c r="M21" s="16">
        <f>Tabla16[[#This Row],[P3 + P6]]*VLOOKUP(MONTH(Tabla16[[#This Row],[Fecha final]]),Tabla20[#All],7,FALSE)</f>
        <v>364.09120000000001</v>
      </c>
      <c r="N21" s="16">
        <f>YEAR(Tabla16[[#This Row],[Fecha final]])</f>
        <v>2021</v>
      </c>
    </row>
    <row r="22" spans="1:14" hidden="1">
      <c r="A22" s="17">
        <v>44439</v>
      </c>
      <c r="B22" s="17">
        <v>44469</v>
      </c>
      <c r="C22" s="16">
        <v>30</v>
      </c>
      <c r="D22" s="16" t="s">
        <v>42</v>
      </c>
      <c r="E22" s="16">
        <v>156</v>
      </c>
      <c r="F22" s="16">
        <v>0</v>
      </c>
      <c r="G22" s="16">
        <v>419</v>
      </c>
      <c r="H22" s="16">
        <f>Tabla16[[#This Row],[P1 + P4]]*VLOOKUP(MONTH(Tabla16[[#This Row],[Fecha final]]),Tabla20[#All],2,FALSE)</f>
        <v>0</v>
      </c>
      <c r="I22" s="16">
        <f>Tabla16[[#This Row],[P2 + P5]]*VLOOKUP(MONTH(Tabla16[[#This Row],[Fecha final]]),Tabla20[#All],3,FALSE)</f>
        <v>0</v>
      </c>
      <c r="J22" s="16">
        <f>(Tabla16[[#This Row],[P3 + P6]])*VLOOKUP(MONTH(Tabla16[[#This Row],[Fecha final]]),Tabla20[#All],4,FALSE)</f>
        <v>146.56620000000001</v>
      </c>
      <c r="K22" s="16">
        <f>Tabla16[[#This Row],[P1 + P4]]*VLOOKUP(MONTH(Tabla16[[#This Row],[Fecha final]]),Tabla20[#All],5,FALSE)</f>
        <v>156</v>
      </c>
      <c r="L22" s="16">
        <f>Tabla16[[#This Row],[P2 + P5]]*VLOOKUP(MONTH(Tabla16[[#This Row],[Fecha final]]),Tabla20[#All],6,FALSE)</f>
        <v>0</v>
      </c>
      <c r="M22" s="16">
        <f>Tabla16[[#This Row],[P3 + P6]]*VLOOKUP(MONTH(Tabla16[[#This Row],[Fecha final]]),Tabla20[#All],7,FALSE)</f>
        <v>272.43380000000002</v>
      </c>
      <c r="N22" s="16">
        <f>YEAR(Tabla16[[#This Row],[Fecha final]])</f>
        <v>2021</v>
      </c>
    </row>
    <row r="23" spans="1:14" hidden="1">
      <c r="A23" s="17">
        <v>44469</v>
      </c>
      <c r="B23" s="17">
        <v>44500</v>
      </c>
      <c r="C23" s="16">
        <v>31</v>
      </c>
      <c r="D23" s="16" t="s">
        <v>42</v>
      </c>
      <c r="E23" s="16">
        <v>194</v>
      </c>
      <c r="F23" s="16">
        <v>109</v>
      </c>
      <c r="G23" s="16">
        <v>178</v>
      </c>
      <c r="H23" s="16">
        <f>Tabla16[[#This Row],[P1 + P4]]*VLOOKUP(MONTH(Tabla16[[#This Row],[Fecha final]]),Tabla20[#All],2,FALSE)</f>
        <v>0</v>
      </c>
      <c r="I23" s="16">
        <f>Tabla16[[#This Row],[P2 + P5]]*VLOOKUP(MONTH(Tabla16[[#This Row],[Fecha final]]),Tabla20[#All],3,FALSE)</f>
        <v>0</v>
      </c>
      <c r="J23" s="16">
        <f>(Tabla16[[#This Row],[P3 + P6]])*VLOOKUP(MONTH(Tabla16[[#This Row],[Fecha final]]),Tabla20[#All],4,FALSE)</f>
        <v>0</v>
      </c>
      <c r="K23" s="16">
        <f>Tabla16[[#This Row],[P1 + P4]]*VLOOKUP(MONTH(Tabla16[[#This Row],[Fecha final]]),Tabla20[#All],5,FALSE)</f>
        <v>194</v>
      </c>
      <c r="L23" s="16">
        <f>Tabla16[[#This Row],[P2 + P5]]*VLOOKUP(MONTH(Tabla16[[#This Row],[Fecha final]]),Tabla20[#All],6,FALSE)</f>
        <v>109</v>
      </c>
      <c r="M23" s="16">
        <f>Tabla16[[#This Row],[P3 + P6]]*VLOOKUP(MONTH(Tabla16[[#This Row],[Fecha final]]),Tabla20[#All],7,FALSE)</f>
        <v>178</v>
      </c>
      <c r="N23" s="16">
        <f>YEAR(Tabla16[[#This Row],[Fecha final]])</f>
        <v>2021</v>
      </c>
    </row>
    <row r="24" spans="1:14" hidden="1">
      <c r="A24" s="17">
        <v>44500</v>
      </c>
      <c r="B24" s="17">
        <v>44530</v>
      </c>
      <c r="C24" s="16">
        <v>30</v>
      </c>
      <c r="D24" s="16" t="s">
        <v>42</v>
      </c>
      <c r="E24" s="16">
        <v>0</v>
      </c>
      <c r="F24" s="16">
        <v>552</v>
      </c>
      <c r="G24" s="16">
        <v>557</v>
      </c>
      <c r="H24" s="16">
        <f>Tabla16[[#This Row],[P1 + P4]]*VLOOKUP(MONTH(Tabla16[[#This Row],[Fecha final]]),Tabla20[#All],2,FALSE)</f>
        <v>0</v>
      </c>
      <c r="I24" s="16">
        <f>Tabla16[[#This Row],[P2 + P5]]*VLOOKUP(MONTH(Tabla16[[#This Row],[Fecha final]]),Tabla20[#All],3,FALSE)</f>
        <v>552</v>
      </c>
      <c r="J24" s="16">
        <f>(Tabla16[[#This Row],[P3 + P6]])*VLOOKUP(MONTH(Tabla16[[#This Row],[Fecha final]]),Tabla20[#All],4,FALSE)</f>
        <v>154.17759999999998</v>
      </c>
      <c r="K24" s="16">
        <f>Tabla16[[#This Row],[P1 + P4]]*VLOOKUP(MONTH(Tabla16[[#This Row],[Fecha final]]),Tabla20[#All],5,FALSE)</f>
        <v>0</v>
      </c>
      <c r="L24" s="16">
        <f>Tabla16[[#This Row],[P2 + P5]]*VLOOKUP(MONTH(Tabla16[[#This Row],[Fecha final]]),Tabla20[#All],6,FALSE)</f>
        <v>0</v>
      </c>
      <c r="M24" s="16">
        <f>Tabla16[[#This Row],[P3 + P6]]*VLOOKUP(MONTH(Tabla16[[#This Row],[Fecha final]]),Tabla20[#All],7,FALSE)</f>
        <v>402.82239999999996</v>
      </c>
      <c r="N24" s="16">
        <f>YEAR(Tabla16[[#This Row],[Fecha final]])</f>
        <v>2021</v>
      </c>
    </row>
    <row r="25" spans="1:14" hidden="1">
      <c r="A25" s="17">
        <v>44530</v>
      </c>
      <c r="B25" s="17">
        <v>44532</v>
      </c>
      <c r="C25" s="16">
        <v>2</v>
      </c>
      <c r="D25" s="16" t="s">
        <v>42</v>
      </c>
      <c r="E25" s="16">
        <v>64</v>
      </c>
      <c r="F25" s="16">
        <v>52</v>
      </c>
      <c r="G25" s="16">
        <v>7</v>
      </c>
      <c r="H25" s="16">
        <f>Tabla16[[#This Row],[P1 + P4]]*VLOOKUP(MONTH(Tabla16[[#This Row],[Fecha final]]),Tabla20[#All],2,FALSE)</f>
        <v>64</v>
      </c>
      <c r="I25" s="16">
        <f>Tabla16[[#This Row],[P2 + P5]]*VLOOKUP(MONTH(Tabla16[[#This Row],[Fecha final]]),Tabla20[#All],3,FALSE)</f>
        <v>52</v>
      </c>
      <c r="J25" s="16">
        <f>(Tabla16[[#This Row],[P3 + P6]])*VLOOKUP(MONTH(Tabla16[[#This Row],[Fecha final]]),Tabla20[#All],4,FALSE)</f>
        <v>0</v>
      </c>
      <c r="K25" s="16">
        <f>Tabla16[[#This Row],[P1 + P4]]*VLOOKUP(MONTH(Tabla16[[#This Row],[Fecha final]]),Tabla20[#All],5,FALSE)</f>
        <v>0</v>
      </c>
      <c r="L25" s="16">
        <f>Tabla16[[#This Row],[P2 + P5]]*VLOOKUP(MONTH(Tabla16[[#This Row],[Fecha final]]),Tabla20[#All],6,FALSE)</f>
        <v>0</v>
      </c>
      <c r="M25" s="16">
        <f>Tabla16[[#This Row],[P3 + P6]]*VLOOKUP(MONTH(Tabla16[[#This Row],[Fecha final]]),Tabla20[#All],7,FALSE)</f>
        <v>7</v>
      </c>
      <c r="N25" s="16">
        <f>YEAR(Tabla16[[#This Row],[Fecha final]])</f>
        <v>2021</v>
      </c>
    </row>
    <row r="26" spans="1:14" hidden="1">
      <c r="A26" s="17">
        <v>44532</v>
      </c>
      <c r="B26" s="17">
        <v>44561</v>
      </c>
      <c r="C26" s="16">
        <v>29</v>
      </c>
      <c r="D26" s="16" t="s">
        <v>42</v>
      </c>
      <c r="E26" s="16">
        <v>543</v>
      </c>
      <c r="F26" s="16">
        <v>357</v>
      </c>
      <c r="G26" s="16">
        <v>182</v>
      </c>
      <c r="H26" s="16">
        <f>Tabla16[[#This Row],[P1 + P4]]*VLOOKUP(MONTH(Tabla16[[#This Row],[Fecha final]]),Tabla20[#All],2,FALSE)</f>
        <v>543</v>
      </c>
      <c r="I26" s="16">
        <f>Tabla16[[#This Row],[P2 + P5]]*VLOOKUP(MONTH(Tabla16[[#This Row],[Fecha final]]),Tabla20[#All],3,FALSE)</f>
        <v>357</v>
      </c>
      <c r="J26" s="16">
        <f>(Tabla16[[#This Row],[P3 + P6]])*VLOOKUP(MONTH(Tabla16[[#This Row],[Fecha final]]),Tabla20[#All],4,FALSE)</f>
        <v>0</v>
      </c>
      <c r="K26" s="16">
        <f>Tabla16[[#This Row],[P1 + P4]]*VLOOKUP(MONTH(Tabla16[[#This Row],[Fecha final]]),Tabla20[#All],5,FALSE)</f>
        <v>0</v>
      </c>
      <c r="L26" s="16">
        <f>Tabla16[[#This Row],[P2 + P5]]*VLOOKUP(MONTH(Tabla16[[#This Row],[Fecha final]]),Tabla20[#All],6,FALSE)</f>
        <v>0</v>
      </c>
      <c r="M26" s="16">
        <f>Tabla16[[#This Row],[P3 + P6]]*VLOOKUP(MONTH(Tabla16[[#This Row],[Fecha final]]),Tabla20[#All],7,FALSE)</f>
        <v>182</v>
      </c>
      <c r="N26" s="16">
        <f>YEAR(Tabla16[[#This Row],[Fecha final]])</f>
        <v>2021</v>
      </c>
    </row>
    <row r="27" spans="1:14">
      <c r="A27" s="17">
        <v>44561</v>
      </c>
      <c r="B27" s="17">
        <v>44592</v>
      </c>
      <c r="C27" s="16">
        <v>31</v>
      </c>
      <c r="D27" s="16" t="s">
        <v>42</v>
      </c>
      <c r="E27" s="16">
        <v>366</v>
      </c>
      <c r="F27" s="16">
        <v>118</v>
      </c>
      <c r="G27" s="16">
        <v>182</v>
      </c>
      <c r="H27" s="16">
        <f>Tabla16[[#This Row],[P1 + P4]]*VLOOKUP(MONTH(Tabla16[[#This Row],[Fecha final]]),Tabla20[#All],2,FALSE)</f>
        <v>366</v>
      </c>
      <c r="I27" s="16">
        <f>Tabla16[[#This Row],[P2 + P5]]*VLOOKUP(MONTH(Tabla16[[#This Row],[Fecha final]]),Tabla20[#All],3,FALSE)</f>
        <v>118</v>
      </c>
      <c r="J27" s="16">
        <f>(Tabla16[[#This Row],[P3 + P6]])*VLOOKUP(MONTH(Tabla16[[#This Row],[Fecha final]]),Tabla20[#All],4,FALSE)</f>
        <v>0</v>
      </c>
      <c r="K27" s="16">
        <f>Tabla16[[#This Row],[P1 + P4]]*VLOOKUP(MONTH(Tabla16[[#This Row],[Fecha final]]),Tabla20[#All],5,FALSE)</f>
        <v>0</v>
      </c>
      <c r="L27" s="16">
        <f>Tabla16[[#This Row],[P2 + P5]]*VLOOKUP(MONTH(Tabla16[[#This Row],[Fecha final]]),Tabla20[#All],6,FALSE)</f>
        <v>0</v>
      </c>
      <c r="M27" s="16">
        <f>Tabla16[[#This Row],[P3 + P6]]*VLOOKUP(MONTH(Tabla16[[#This Row],[Fecha final]]),Tabla20[#All],7,FALSE)</f>
        <v>182</v>
      </c>
      <c r="N27" s="16">
        <f>YEAR(Tabla16[[#This Row],[Fecha final]])</f>
        <v>2022</v>
      </c>
    </row>
    <row r="28" spans="1:14">
      <c r="A28" s="17">
        <v>44592</v>
      </c>
      <c r="B28" s="17">
        <v>44620</v>
      </c>
      <c r="C28" s="16">
        <v>28</v>
      </c>
      <c r="D28" s="16" t="s">
        <v>42</v>
      </c>
      <c r="E28" s="16">
        <v>611</v>
      </c>
      <c r="F28" s="16">
        <v>297</v>
      </c>
      <c r="G28" s="16">
        <v>187</v>
      </c>
      <c r="H28" s="16">
        <f>Tabla16[[#This Row],[P1 + P4]]*VLOOKUP(MONTH(Tabla16[[#This Row],[Fecha final]]),Tabla20[#All],2,FALSE)</f>
        <v>611</v>
      </c>
      <c r="I28" s="16">
        <f>Tabla16[[#This Row],[P2 + P5]]*VLOOKUP(MONTH(Tabla16[[#This Row],[Fecha final]]),Tabla20[#All],3,FALSE)</f>
        <v>297</v>
      </c>
      <c r="J28" s="16">
        <f>(Tabla16[[#This Row],[P3 + P6]])*VLOOKUP(MONTH(Tabla16[[#This Row],[Fecha final]]),Tabla20[#All],4,FALSE)</f>
        <v>0</v>
      </c>
      <c r="K28" s="16">
        <f>Tabla16[[#This Row],[P1 + P4]]*VLOOKUP(MONTH(Tabla16[[#This Row],[Fecha final]]),Tabla20[#All],5,FALSE)</f>
        <v>0</v>
      </c>
      <c r="L28" s="16">
        <f>Tabla16[[#This Row],[P2 + P5]]*VLOOKUP(MONTH(Tabla16[[#This Row],[Fecha final]]),Tabla20[#All],6,FALSE)</f>
        <v>0</v>
      </c>
      <c r="M28" s="16">
        <f>Tabla16[[#This Row],[P3 + P6]]*VLOOKUP(MONTH(Tabla16[[#This Row],[Fecha final]]),Tabla20[#All],7,FALSE)</f>
        <v>187</v>
      </c>
      <c r="N28" s="16">
        <f>YEAR(Tabla16[[#This Row],[Fecha final]])</f>
        <v>2022</v>
      </c>
    </row>
    <row r="29" spans="1:14">
      <c r="A29" s="17">
        <v>44620</v>
      </c>
      <c r="B29" s="17">
        <v>44651</v>
      </c>
      <c r="C29" s="16">
        <v>31</v>
      </c>
      <c r="D29" s="16" t="s">
        <v>42</v>
      </c>
      <c r="E29" s="16">
        <v>0</v>
      </c>
      <c r="F29" s="16">
        <v>702</v>
      </c>
      <c r="G29" s="16">
        <v>538</v>
      </c>
      <c r="H29" s="16">
        <f>Tabla16[[#This Row],[P1 + P4]]*VLOOKUP(MONTH(Tabla16[[#This Row],[Fecha final]]),Tabla20[#All],2,FALSE)</f>
        <v>0</v>
      </c>
      <c r="I29" s="16">
        <f>Tabla16[[#This Row],[P2 + P5]]*VLOOKUP(MONTH(Tabla16[[#This Row],[Fecha final]]),Tabla20[#All],3,FALSE)</f>
        <v>702</v>
      </c>
      <c r="J29" s="16">
        <f>(Tabla16[[#This Row],[P3 + P6]])*VLOOKUP(MONTH(Tabla16[[#This Row],[Fecha final]]),Tabla20[#All],4,FALSE)</f>
        <v>161.29240000000001</v>
      </c>
      <c r="K29" s="16">
        <f>Tabla16[[#This Row],[P1 + P4]]*VLOOKUP(MONTH(Tabla16[[#This Row],[Fecha final]]),Tabla20[#All],5,FALSE)</f>
        <v>0</v>
      </c>
      <c r="L29" s="16">
        <f>Tabla16[[#This Row],[P2 + P5]]*VLOOKUP(MONTH(Tabla16[[#This Row],[Fecha final]]),Tabla20[#All],6,FALSE)</f>
        <v>0</v>
      </c>
      <c r="M29" s="16">
        <f>Tabla16[[#This Row],[P3 + P6]]*VLOOKUP(MONTH(Tabla16[[#This Row],[Fecha final]]),Tabla20[#All],7,FALSE)</f>
        <v>376.70760000000001</v>
      </c>
      <c r="N29" s="16">
        <f>YEAR(Tabla16[[#This Row],[Fecha final]])</f>
        <v>2022</v>
      </c>
    </row>
    <row r="30" spans="1:14">
      <c r="A30" s="17">
        <v>44651</v>
      </c>
      <c r="B30" s="17">
        <v>44681</v>
      </c>
      <c r="C30" s="16">
        <v>30</v>
      </c>
      <c r="D30" s="16" t="s">
        <v>42</v>
      </c>
      <c r="E30" s="16">
        <v>485</v>
      </c>
      <c r="F30" s="16">
        <v>276</v>
      </c>
      <c r="G30" s="16">
        <v>193</v>
      </c>
      <c r="H30" s="16">
        <f>Tabla16[[#This Row],[P1 + P4]]*VLOOKUP(MONTH(Tabla16[[#This Row],[Fecha final]]),Tabla20[#All],2,FALSE)</f>
        <v>0</v>
      </c>
      <c r="I30" s="16">
        <f>Tabla16[[#This Row],[P2 + P5]]*VLOOKUP(MONTH(Tabla16[[#This Row],[Fecha final]]),Tabla20[#All],3,FALSE)</f>
        <v>0</v>
      </c>
      <c r="J30" s="16">
        <f>(Tabla16[[#This Row],[P3 + P6]])*VLOOKUP(MONTH(Tabla16[[#This Row],[Fecha final]]),Tabla20[#All],4,FALSE)</f>
        <v>0</v>
      </c>
      <c r="K30" s="16">
        <f>Tabla16[[#This Row],[P1 + P4]]*VLOOKUP(MONTH(Tabla16[[#This Row],[Fecha final]]),Tabla20[#All],5,FALSE)</f>
        <v>485</v>
      </c>
      <c r="L30" s="16">
        <f>Tabla16[[#This Row],[P2 + P5]]*VLOOKUP(MONTH(Tabla16[[#This Row],[Fecha final]]),Tabla20[#All],6,FALSE)</f>
        <v>276</v>
      </c>
      <c r="M30" s="16">
        <f>Tabla16[[#This Row],[P3 + P6]]*VLOOKUP(MONTH(Tabla16[[#This Row],[Fecha final]]),Tabla20[#All],7,FALSE)</f>
        <v>193</v>
      </c>
      <c r="N30" s="16">
        <f>YEAR(Tabla16[[#This Row],[Fecha final]])</f>
        <v>2022</v>
      </c>
    </row>
    <row r="31" spans="1:14">
      <c r="A31" s="17">
        <v>44681</v>
      </c>
      <c r="B31" s="17">
        <v>44712</v>
      </c>
      <c r="C31" s="16">
        <v>31</v>
      </c>
      <c r="D31" s="16" t="s">
        <v>42</v>
      </c>
      <c r="E31" s="16">
        <v>233</v>
      </c>
      <c r="F31" s="16">
        <v>132</v>
      </c>
      <c r="G31" s="16">
        <v>141</v>
      </c>
      <c r="H31" s="16">
        <f>Tabla16[[#This Row],[P1 + P4]]*VLOOKUP(MONTH(Tabla16[[#This Row],[Fecha final]]),Tabla20[#All],2,FALSE)</f>
        <v>0</v>
      </c>
      <c r="I31" s="16">
        <f>Tabla16[[#This Row],[P2 + P5]]*VLOOKUP(MONTH(Tabla16[[#This Row],[Fecha final]]),Tabla20[#All],3,FALSE)</f>
        <v>0</v>
      </c>
      <c r="J31" s="16">
        <f>(Tabla16[[#This Row],[P3 + P6]])*VLOOKUP(MONTH(Tabla16[[#This Row],[Fecha final]]),Tabla20[#All],4,FALSE)</f>
        <v>0</v>
      </c>
      <c r="K31" s="16">
        <f>Tabla16[[#This Row],[P1 + P4]]*VLOOKUP(MONTH(Tabla16[[#This Row],[Fecha final]]),Tabla20[#All],5,FALSE)</f>
        <v>233</v>
      </c>
      <c r="L31" s="16">
        <f>Tabla16[[#This Row],[P2 + P5]]*VLOOKUP(MONTH(Tabla16[[#This Row],[Fecha final]]),Tabla20[#All],6,FALSE)</f>
        <v>132</v>
      </c>
      <c r="M31" s="16">
        <f>Tabla16[[#This Row],[P3 + P6]]*VLOOKUP(MONTH(Tabla16[[#This Row],[Fecha final]]),Tabla20[#All],7,FALSE)</f>
        <v>141</v>
      </c>
      <c r="N31" s="16">
        <f>YEAR(Tabla16[[#This Row],[Fecha final]])</f>
        <v>2022</v>
      </c>
    </row>
    <row r="32" spans="1:14">
      <c r="A32" s="17">
        <v>44712</v>
      </c>
      <c r="B32" s="17">
        <v>44742</v>
      </c>
      <c r="C32" s="16">
        <v>30</v>
      </c>
      <c r="D32" s="16" t="s">
        <v>42</v>
      </c>
      <c r="E32" s="16">
        <v>191</v>
      </c>
      <c r="F32" s="16">
        <v>0</v>
      </c>
      <c r="G32" s="16">
        <v>503</v>
      </c>
      <c r="H32" s="16">
        <f>Tabla16[[#This Row],[P1 + P4]]*VLOOKUP(MONTH(Tabla16[[#This Row],[Fecha final]]),Tabla20[#All],2,FALSE)</f>
        <v>0</v>
      </c>
      <c r="I32" s="16">
        <f>Tabla16[[#This Row],[P2 + P5]]*VLOOKUP(MONTH(Tabla16[[#This Row],[Fecha final]]),Tabla20[#All],3,FALSE)</f>
        <v>0</v>
      </c>
      <c r="J32" s="16">
        <f>(Tabla16[[#This Row],[P3 + P6]])*VLOOKUP(MONTH(Tabla16[[#This Row],[Fecha final]]),Tabla20[#All],4,FALSE)</f>
        <v>175.9494</v>
      </c>
      <c r="K32" s="16">
        <f>Tabla16[[#This Row],[P1 + P4]]*VLOOKUP(MONTH(Tabla16[[#This Row],[Fecha final]]),Tabla20[#All],5,FALSE)</f>
        <v>191</v>
      </c>
      <c r="L32" s="16">
        <f>Tabla16[[#This Row],[P2 + P5]]*VLOOKUP(MONTH(Tabla16[[#This Row],[Fecha final]]),Tabla20[#All],6,FALSE)</f>
        <v>0</v>
      </c>
      <c r="M32" s="16">
        <f>Tabla16[[#This Row],[P3 + P6]]*VLOOKUP(MONTH(Tabla16[[#This Row],[Fecha final]]),Tabla20[#All],7,FALSE)</f>
        <v>327.05059999999997</v>
      </c>
      <c r="N32" s="16">
        <f>YEAR(Tabla16[[#This Row],[Fecha final]])</f>
        <v>2022</v>
      </c>
    </row>
    <row r="33" spans="1:14">
      <c r="A33" s="17">
        <v>44742</v>
      </c>
      <c r="B33" s="17">
        <v>44773</v>
      </c>
      <c r="C33" s="16">
        <v>31</v>
      </c>
      <c r="D33" s="16" t="s">
        <v>42</v>
      </c>
      <c r="E33" s="16">
        <v>506</v>
      </c>
      <c r="F33" s="16">
        <v>304</v>
      </c>
      <c r="G33" s="16">
        <v>184</v>
      </c>
      <c r="H33" s="16">
        <f>Tabla16[[#This Row],[P1 + P4]]*VLOOKUP(MONTH(Tabla16[[#This Row],[Fecha final]]),Tabla20[#All],2,FALSE)</f>
        <v>506</v>
      </c>
      <c r="I33" s="16">
        <f>Tabla16[[#This Row],[P2 + P5]]*VLOOKUP(MONTH(Tabla16[[#This Row],[Fecha final]]),Tabla20[#All],3,FALSE)</f>
        <v>304</v>
      </c>
      <c r="J33" s="16">
        <f>(Tabla16[[#This Row],[P3 + P6]])*VLOOKUP(MONTH(Tabla16[[#This Row],[Fecha final]]),Tabla20[#All],4,FALSE)</f>
        <v>0</v>
      </c>
      <c r="K33" s="16">
        <f>Tabla16[[#This Row],[P1 + P4]]*VLOOKUP(MONTH(Tabla16[[#This Row],[Fecha final]]),Tabla20[#All],5,FALSE)</f>
        <v>0</v>
      </c>
      <c r="L33" s="16">
        <f>Tabla16[[#This Row],[P2 + P5]]*VLOOKUP(MONTH(Tabla16[[#This Row],[Fecha final]]),Tabla20[#All],6,FALSE)</f>
        <v>0</v>
      </c>
      <c r="M33" s="16">
        <f>Tabla16[[#This Row],[P3 + P6]]*VLOOKUP(MONTH(Tabla16[[#This Row],[Fecha final]]),Tabla20[#All],7,FALSE)</f>
        <v>184</v>
      </c>
      <c r="N33" s="16">
        <f>YEAR(Tabla16[[#This Row],[Fecha final]])</f>
        <v>2022</v>
      </c>
    </row>
    <row r="34" spans="1:14">
      <c r="A34" s="17">
        <v>44773</v>
      </c>
      <c r="B34" s="17">
        <v>44804</v>
      </c>
      <c r="C34" s="16">
        <v>31</v>
      </c>
      <c r="D34" s="16" t="s">
        <v>42</v>
      </c>
      <c r="E34" s="16">
        <v>191</v>
      </c>
      <c r="F34" s="16">
        <v>0</v>
      </c>
      <c r="G34" s="16">
        <v>649</v>
      </c>
      <c r="H34" s="16">
        <f>Tabla16[[#This Row],[P1 + P4]]*VLOOKUP(MONTH(Tabla16[[#This Row],[Fecha final]]),Tabla20[#All],2,FALSE)</f>
        <v>0</v>
      </c>
      <c r="I34" s="16">
        <f>Tabla16[[#This Row],[P2 + P5]]*VLOOKUP(MONTH(Tabla16[[#This Row],[Fecha final]]),Tabla20[#All],3,FALSE)</f>
        <v>0</v>
      </c>
      <c r="J34" s="16">
        <f>(Tabla16[[#This Row],[P3 + P6]])*VLOOKUP(MONTH(Tabla16[[#This Row],[Fecha final]]),Tabla20[#All],4,FALSE)</f>
        <v>217.80440000000002</v>
      </c>
      <c r="K34" s="16">
        <f>Tabla16[[#This Row],[P1 + P4]]*VLOOKUP(MONTH(Tabla16[[#This Row],[Fecha final]]),Tabla20[#All],5,FALSE)</f>
        <v>191</v>
      </c>
      <c r="L34" s="16">
        <f>Tabla16[[#This Row],[P2 + P5]]*VLOOKUP(MONTH(Tabla16[[#This Row],[Fecha final]]),Tabla20[#All],6,FALSE)</f>
        <v>0</v>
      </c>
      <c r="M34" s="16">
        <f>Tabla16[[#This Row],[P3 + P6]]*VLOOKUP(MONTH(Tabla16[[#This Row],[Fecha final]]),Tabla20[#All],7,FALSE)</f>
        <v>431.19560000000001</v>
      </c>
      <c r="N34" s="16">
        <f>YEAR(Tabla16[[#This Row],[Fecha final]])</f>
        <v>2022</v>
      </c>
    </row>
    <row r="35" spans="1:14">
      <c r="A35" s="17">
        <v>44804</v>
      </c>
      <c r="B35" s="17">
        <v>44834</v>
      </c>
      <c r="C35" s="16">
        <v>30</v>
      </c>
      <c r="D35" s="16" t="s">
        <v>42</v>
      </c>
      <c r="E35" s="16">
        <v>125</v>
      </c>
      <c r="F35" s="16">
        <v>0</v>
      </c>
      <c r="G35" s="16">
        <v>415</v>
      </c>
      <c r="H35" s="16">
        <f>Tabla16[[#This Row],[P1 + P4]]*VLOOKUP(MONTH(Tabla16[[#This Row],[Fecha final]]),Tabla20[#All],2,FALSE)</f>
        <v>0</v>
      </c>
      <c r="I35" s="16">
        <f>Tabla16[[#This Row],[P2 + P5]]*VLOOKUP(MONTH(Tabla16[[#This Row],[Fecha final]]),Tabla20[#All],3,FALSE)</f>
        <v>0</v>
      </c>
      <c r="J35" s="16">
        <f>(Tabla16[[#This Row],[P3 + P6]])*VLOOKUP(MONTH(Tabla16[[#This Row],[Fecha final]]),Tabla20[#All],4,FALSE)</f>
        <v>145.167</v>
      </c>
      <c r="K35" s="16">
        <f>Tabla16[[#This Row],[P1 + P4]]*VLOOKUP(MONTH(Tabla16[[#This Row],[Fecha final]]),Tabla20[#All],5,FALSE)</f>
        <v>125</v>
      </c>
      <c r="L35" s="16">
        <f>Tabla16[[#This Row],[P2 + P5]]*VLOOKUP(MONTH(Tabla16[[#This Row],[Fecha final]]),Tabla20[#All],6,FALSE)</f>
        <v>0</v>
      </c>
      <c r="M35" s="16">
        <f>Tabla16[[#This Row],[P3 + P6]]*VLOOKUP(MONTH(Tabla16[[#This Row],[Fecha final]]),Tabla20[#All],7,FALSE)</f>
        <v>269.83300000000003</v>
      </c>
      <c r="N35" s="16">
        <f>YEAR(Tabla16[[#This Row],[Fecha final]])</f>
        <v>2022</v>
      </c>
    </row>
    <row r="36" spans="1:14">
      <c r="A36" s="17">
        <v>44834</v>
      </c>
      <c r="B36" s="17">
        <v>44865</v>
      </c>
      <c r="C36" s="16">
        <v>31</v>
      </c>
      <c r="D36" s="16" t="s">
        <v>42</v>
      </c>
      <c r="E36" s="16">
        <v>194</v>
      </c>
      <c r="F36" s="16">
        <v>109</v>
      </c>
      <c r="G36" s="16">
        <v>178</v>
      </c>
      <c r="H36" s="16">
        <f>Tabla16[[#This Row],[P1 + P4]]*VLOOKUP(MONTH(Tabla16[[#This Row],[Fecha final]]),Tabla20[#All],2,FALSE)</f>
        <v>0</v>
      </c>
      <c r="I36" s="16">
        <f>Tabla16[[#This Row],[P2 + P5]]*VLOOKUP(MONTH(Tabla16[[#This Row],[Fecha final]]),Tabla20[#All],3,FALSE)</f>
        <v>0</v>
      </c>
      <c r="J36" s="16">
        <f>(Tabla16[[#This Row],[P3 + P6]])*VLOOKUP(MONTH(Tabla16[[#This Row],[Fecha final]]),Tabla20[#All],4,FALSE)</f>
        <v>0</v>
      </c>
      <c r="K36" s="16">
        <f>Tabla16[[#This Row],[P1 + P4]]*VLOOKUP(MONTH(Tabla16[[#This Row],[Fecha final]]),Tabla20[#All],5,FALSE)</f>
        <v>194</v>
      </c>
      <c r="L36" s="16">
        <f>Tabla16[[#This Row],[P2 + P5]]*VLOOKUP(MONTH(Tabla16[[#This Row],[Fecha final]]),Tabla20[#All],6,FALSE)</f>
        <v>109</v>
      </c>
      <c r="M36" s="16">
        <f>Tabla16[[#This Row],[P3 + P6]]*VLOOKUP(MONTH(Tabla16[[#This Row],[Fecha final]]),Tabla20[#All],7,FALSE)</f>
        <v>178</v>
      </c>
      <c r="N36" s="16">
        <f>YEAR(Tabla16[[#This Row],[Fecha final]])</f>
        <v>2022</v>
      </c>
    </row>
    <row r="37" spans="1:14">
      <c r="A37" s="17">
        <v>44865</v>
      </c>
      <c r="B37" s="17">
        <v>44895</v>
      </c>
      <c r="C37" s="16">
        <v>30</v>
      </c>
      <c r="D37" s="16" t="s">
        <v>42</v>
      </c>
      <c r="E37" s="16">
        <v>31</v>
      </c>
      <c r="F37" s="16">
        <v>241</v>
      </c>
      <c r="G37" s="16">
        <v>290</v>
      </c>
      <c r="H37" s="16">
        <f>Tabla16[[#This Row],[P1 + P4]]*VLOOKUP(MONTH(Tabla16[[#This Row],[Fecha final]]),Tabla20[#All],2,FALSE)</f>
        <v>0</v>
      </c>
      <c r="I37" s="16">
        <f>Tabla16[[#This Row],[P2 + P5]]*VLOOKUP(MONTH(Tabla16[[#This Row],[Fecha final]]),Tabla20[#All],3,FALSE)</f>
        <v>241</v>
      </c>
      <c r="J37" s="16">
        <f>(Tabla16[[#This Row],[P3 + P6]])*VLOOKUP(MONTH(Tabla16[[#This Row],[Fecha final]]),Tabla20[#All],4,FALSE)</f>
        <v>80.271999999999991</v>
      </c>
      <c r="K37" s="16">
        <f>Tabla16[[#This Row],[P1 + P4]]*VLOOKUP(MONTH(Tabla16[[#This Row],[Fecha final]]),Tabla20[#All],5,FALSE)</f>
        <v>0</v>
      </c>
      <c r="L37" s="16">
        <f>Tabla16[[#This Row],[P2 + P5]]*VLOOKUP(MONTH(Tabla16[[#This Row],[Fecha final]]),Tabla20[#All],6,FALSE)</f>
        <v>0</v>
      </c>
      <c r="M37" s="16">
        <f>Tabla16[[#This Row],[P3 + P6]]*VLOOKUP(MONTH(Tabla16[[#This Row],[Fecha final]]),Tabla20[#All],7,FALSE)</f>
        <v>209.72799999999998</v>
      </c>
      <c r="N37" s="16">
        <f>YEAR(Tabla16[[#This Row],[Fecha final]])</f>
        <v>2022</v>
      </c>
    </row>
    <row r="38" spans="1:14">
      <c r="A38" s="17">
        <v>44895</v>
      </c>
      <c r="B38" s="17">
        <v>44926</v>
      </c>
      <c r="C38" s="16">
        <v>31</v>
      </c>
      <c r="D38" s="16" t="s">
        <v>42</v>
      </c>
      <c r="E38" s="16">
        <v>572</v>
      </c>
      <c r="F38" s="16">
        <v>301</v>
      </c>
      <c r="G38" s="16">
        <v>204</v>
      </c>
      <c r="H38" s="16">
        <f>Tabla16[[#This Row],[P1 + P4]]*VLOOKUP(MONTH(Tabla16[[#This Row],[Fecha final]]),Tabla20[#All],2,FALSE)</f>
        <v>572</v>
      </c>
      <c r="I38" s="16">
        <f>Tabla16[[#This Row],[P2 + P5]]*VLOOKUP(MONTH(Tabla16[[#This Row],[Fecha final]]),Tabla20[#All],3,FALSE)</f>
        <v>301</v>
      </c>
      <c r="J38" s="16">
        <f>(Tabla16[[#This Row],[P3 + P6]])*VLOOKUP(MONTH(Tabla16[[#This Row],[Fecha final]]),Tabla20[#All],4,FALSE)</f>
        <v>0</v>
      </c>
      <c r="K38" s="16">
        <f>Tabla16[[#This Row],[P1 + P4]]*VLOOKUP(MONTH(Tabla16[[#This Row],[Fecha final]]),Tabla20[#All],5,FALSE)</f>
        <v>0</v>
      </c>
      <c r="L38" s="16">
        <f>Tabla16[[#This Row],[P2 + P5]]*VLOOKUP(MONTH(Tabla16[[#This Row],[Fecha final]]),Tabla20[#All],6,FALSE)</f>
        <v>0</v>
      </c>
      <c r="M38" s="16">
        <f>Tabla16[[#This Row],[P3 + P6]]*VLOOKUP(MONTH(Tabla16[[#This Row],[Fecha final]]),Tabla20[#All],7,FALSE)</f>
        <v>204</v>
      </c>
      <c r="N38" s="16">
        <f>YEAR(Tabla16[[#This Row],[Fecha final]])</f>
        <v>2022</v>
      </c>
    </row>
    <row r="39" spans="1:14" hidden="1">
      <c r="A39" s="17">
        <v>44926</v>
      </c>
      <c r="B39" s="17">
        <v>44957</v>
      </c>
      <c r="C39" s="16">
        <v>31</v>
      </c>
      <c r="D39" s="16" t="s">
        <v>42</v>
      </c>
      <c r="E39" s="16">
        <v>846</v>
      </c>
      <c r="F39" s="16">
        <v>446</v>
      </c>
      <c r="G39" s="16">
        <v>252</v>
      </c>
      <c r="H39" s="16">
        <f>Tabla16[[#This Row],[P1 + P4]]*VLOOKUP(MONTH(Tabla16[[#This Row],[Fecha final]]),Tabla20[#All],2,FALSE)</f>
        <v>846</v>
      </c>
      <c r="I39" s="16">
        <f>Tabla16[[#This Row],[P2 + P5]]*VLOOKUP(MONTH(Tabla16[[#This Row],[Fecha final]]),Tabla20[#All],3,FALSE)</f>
        <v>446</v>
      </c>
      <c r="J39" s="16">
        <f>(Tabla16[[#This Row],[P3 + P6]])*VLOOKUP(MONTH(Tabla16[[#This Row],[Fecha final]]),Tabla20[#All],4,FALSE)</f>
        <v>0</v>
      </c>
      <c r="K39" s="16">
        <f>Tabla16[[#This Row],[P1 + P4]]*VLOOKUP(MONTH(Tabla16[[#This Row],[Fecha final]]),Tabla20[#All],5,FALSE)</f>
        <v>0</v>
      </c>
      <c r="L39" s="16">
        <f>Tabla16[[#This Row],[P2 + P5]]*VLOOKUP(MONTH(Tabla16[[#This Row],[Fecha final]]),Tabla20[#All],6,FALSE)</f>
        <v>0</v>
      </c>
      <c r="M39" s="16">
        <f>Tabla16[[#This Row],[P3 + P6]]*VLOOKUP(MONTH(Tabla16[[#This Row],[Fecha final]]),Tabla20[#All],7,FALSE)</f>
        <v>252</v>
      </c>
      <c r="N39" s="16">
        <f>YEAR(Tabla16[[#This Row],[Fecha final]])</f>
        <v>2023</v>
      </c>
    </row>
    <row r="40" spans="1:14" hidden="1">
      <c r="A40" s="17">
        <v>44957</v>
      </c>
      <c r="B40" s="17">
        <v>44985</v>
      </c>
      <c r="C40" s="16">
        <v>28</v>
      </c>
      <c r="D40" s="16" t="s">
        <v>42</v>
      </c>
      <c r="E40" s="16">
        <v>784</v>
      </c>
      <c r="F40" s="16">
        <v>442</v>
      </c>
      <c r="G40" s="16">
        <v>234</v>
      </c>
      <c r="H40" s="16">
        <f>Tabla16[[#This Row],[P1 + P4]]*VLOOKUP(MONTH(Tabla16[[#This Row],[Fecha final]]),Tabla20[#All],2,FALSE)</f>
        <v>784</v>
      </c>
      <c r="I40" s="16">
        <f>Tabla16[[#This Row],[P2 + P5]]*VLOOKUP(MONTH(Tabla16[[#This Row],[Fecha final]]),Tabla20[#All],3,FALSE)</f>
        <v>442</v>
      </c>
      <c r="J40" s="16">
        <f>(Tabla16[[#This Row],[P3 + P6]])*VLOOKUP(MONTH(Tabla16[[#This Row],[Fecha final]]),Tabla20[#All],4,FALSE)</f>
        <v>0</v>
      </c>
      <c r="K40" s="16">
        <f>Tabla16[[#This Row],[P1 + P4]]*VLOOKUP(MONTH(Tabla16[[#This Row],[Fecha final]]),Tabla20[#All],5,FALSE)</f>
        <v>0</v>
      </c>
      <c r="L40" s="16">
        <f>Tabla16[[#This Row],[P2 + P5]]*VLOOKUP(MONTH(Tabla16[[#This Row],[Fecha final]]),Tabla20[#All],6,FALSE)</f>
        <v>0</v>
      </c>
      <c r="M40" s="16">
        <f>Tabla16[[#This Row],[P3 + P6]]*VLOOKUP(MONTH(Tabla16[[#This Row],[Fecha final]]),Tabla20[#All],7,FALSE)</f>
        <v>234</v>
      </c>
      <c r="N40" s="16">
        <f>YEAR(Tabla16[[#This Row],[Fecha final]])</f>
        <v>2023</v>
      </c>
    </row>
    <row r="41" spans="1:14" hidden="1">
      <c r="A41" s="17">
        <v>44985</v>
      </c>
      <c r="B41" s="17">
        <v>45016</v>
      </c>
      <c r="C41" s="16">
        <v>31</v>
      </c>
      <c r="D41" s="16" t="s">
        <v>42</v>
      </c>
      <c r="E41" s="16">
        <v>0</v>
      </c>
      <c r="F41" s="16">
        <v>616</v>
      </c>
      <c r="G41" s="16">
        <v>548</v>
      </c>
      <c r="H41" s="16">
        <f>Tabla16[[#This Row],[P1 + P4]]*VLOOKUP(MONTH(Tabla16[[#This Row],[Fecha final]]),Tabla20[#All],2,FALSE)</f>
        <v>0</v>
      </c>
      <c r="I41" s="16">
        <f>Tabla16[[#This Row],[P2 + P5]]*VLOOKUP(MONTH(Tabla16[[#This Row],[Fecha final]]),Tabla20[#All],3,FALSE)</f>
        <v>616</v>
      </c>
      <c r="J41" s="16">
        <f>(Tabla16[[#This Row],[P3 + P6]])*VLOOKUP(MONTH(Tabla16[[#This Row],[Fecha final]]),Tabla20[#All],4,FALSE)</f>
        <v>164.29040000000001</v>
      </c>
      <c r="K41" s="16">
        <f>Tabla16[[#This Row],[P1 + P4]]*VLOOKUP(MONTH(Tabla16[[#This Row],[Fecha final]]),Tabla20[#All],5,FALSE)</f>
        <v>0</v>
      </c>
      <c r="L41" s="16">
        <f>Tabla16[[#This Row],[P2 + P5]]*VLOOKUP(MONTH(Tabla16[[#This Row],[Fecha final]]),Tabla20[#All],6,FALSE)</f>
        <v>0</v>
      </c>
      <c r="M41" s="16">
        <f>Tabla16[[#This Row],[P3 + P6]]*VLOOKUP(MONTH(Tabla16[[#This Row],[Fecha final]]),Tabla20[#All],7,FALSE)</f>
        <v>383.70960000000002</v>
      </c>
      <c r="N41" s="16">
        <f>YEAR(Tabla16[[#This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288</v>
      </c>
      <c r="G47" s="16">
        <v>106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357</v>
      </c>
      <c r="F48" s="16">
        <v>178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252</v>
      </c>
      <c r="F49" s="16">
        <v>102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212</v>
      </c>
      <c r="F50" s="16">
        <v>81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79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48</v>
      </c>
      <c r="F54" s="16">
        <v>0</v>
      </c>
      <c r="G54" s="16">
        <v>230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197</v>
      </c>
      <c r="F55" s="16">
        <v>111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36</v>
      </c>
      <c r="F56" s="16">
        <v>0</v>
      </c>
      <c r="G56" s="16">
        <v>95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4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196</v>
      </c>
      <c r="F58" s="16">
        <v>100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333</v>
      </c>
      <c r="G59" s="16">
        <v>123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316</v>
      </c>
      <c r="F60" s="16">
        <v>113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141</v>
      </c>
      <c r="F61" s="16">
        <v>8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280</v>
      </c>
      <c r="F62" s="16">
        <v>153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37</v>
      </c>
      <c r="F63" s="16">
        <v>25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263</v>
      </c>
      <c r="G64" s="16">
        <v>137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16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33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3</v>
      </c>
      <c r="F67" s="16">
        <v>0</v>
      </c>
      <c r="G67" s="16">
        <v>114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140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9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38</v>
      </c>
      <c r="F70" s="16">
        <v>97</v>
      </c>
      <c r="G70" s="16">
        <v>44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156</v>
      </c>
      <c r="F71" s="16">
        <v>342</v>
      </c>
      <c r="G71" s="16">
        <v>108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115</v>
      </c>
      <c r="F72" s="16">
        <v>776</v>
      </c>
      <c r="G72" s="16">
        <v>33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102</v>
      </c>
      <c r="F73" s="16">
        <v>607</v>
      </c>
      <c r="G73" s="16">
        <v>15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121</v>
      </c>
      <c r="F74" s="16">
        <v>808</v>
      </c>
      <c r="G74" s="16">
        <v>19</v>
      </c>
    </row>
    <row r="75" spans="1:7">
      <c r="A75" s="16" t="s">
        <v>44</v>
      </c>
      <c r="B75" s="16" t="s">
        <v>45</v>
      </c>
      <c r="C75" s="16">
        <v>31</v>
      </c>
      <c r="D75" s="16" t="s">
        <v>42</v>
      </c>
      <c r="E75" s="16">
        <v>131</v>
      </c>
      <c r="F75" s="16">
        <v>781</v>
      </c>
      <c r="G75" s="16">
        <v>14</v>
      </c>
    </row>
    <row r="76" spans="1:7">
      <c r="A76" s="16" t="s">
        <v>43</v>
      </c>
      <c r="B76" s="16" t="s">
        <v>44</v>
      </c>
      <c r="C76" s="16">
        <v>30</v>
      </c>
      <c r="D76" s="16" t="s">
        <v>42</v>
      </c>
      <c r="E76" s="16">
        <v>124</v>
      </c>
      <c r="F76" s="16">
        <v>356</v>
      </c>
      <c r="G76" s="16">
        <v>1</v>
      </c>
    </row>
    <row r="77" spans="1:7">
      <c r="A77" s="16" t="s">
        <v>41</v>
      </c>
      <c r="B77" s="16" t="s">
        <v>43</v>
      </c>
      <c r="C77" s="16">
        <v>31</v>
      </c>
      <c r="D77" s="16" t="s">
        <v>42</v>
      </c>
      <c r="E77" s="16">
        <v>75</v>
      </c>
      <c r="F77" s="16">
        <v>204</v>
      </c>
      <c r="G77" s="16">
        <v>15</v>
      </c>
    </row>
    <row r="78" spans="1:7">
      <c r="A78" s="16" t="s">
        <v>152</v>
      </c>
      <c r="B78" s="16" t="s">
        <v>41</v>
      </c>
      <c r="C78" s="16">
        <v>29</v>
      </c>
      <c r="D78" s="16" t="s">
        <v>42</v>
      </c>
      <c r="E78" s="16">
        <v>4</v>
      </c>
      <c r="F78" s="16">
        <v>98</v>
      </c>
      <c r="G78" s="16">
        <v>0</v>
      </c>
    </row>
    <row r="79" spans="1:7">
      <c r="A79" s="16" t="s">
        <v>153</v>
      </c>
      <c r="B79" s="16" t="s">
        <v>152</v>
      </c>
      <c r="C79" s="16">
        <v>29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154</v>
      </c>
      <c r="B80" s="16" t="s">
        <v>153</v>
      </c>
      <c r="C80" s="16">
        <v>33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155</v>
      </c>
      <c r="B81" s="16" t="s">
        <v>154</v>
      </c>
      <c r="C81" s="16">
        <v>35</v>
      </c>
      <c r="D81" s="16" t="s">
        <v>42</v>
      </c>
      <c r="E81" s="16">
        <v>23</v>
      </c>
      <c r="F81" s="16">
        <v>23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31.5</v>
      </c>
      <c r="C87" s="16">
        <v>31.5</v>
      </c>
      <c r="D87" s="16">
        <v>31.5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14</v>
      </c>
      <c r="G89" s="16">
        <v>20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22</v>
      </c>
      <c r="F90" s="16">
        <v>22</v>
      </c>
      <c r="G90" s="16">
        <v>25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20</v>
      </c>
      <c r="F91" s="16">
        <v>17</v>
      </c>
      <c r="G91" s="16">
        <v>17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11</v>
      </c>
      <c r="F92" s="16">
        <v>13</v>
      </c>
      <c r="G92" s="16">
        <v>5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0</v>
      </c>
      <c r="G93" s="16">
        <v>0.22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2</v>
      </c>
      <c r="F94" s="16">
        <v>2</v>
      </c>
      <c r="G94" s="16">
        <v>2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6</v>
      </c>
      <c r="F95" s="16">
        <v>0</v>
      </c>
      <c r="G95" s="16">
        <v>7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7</v>
      </c>
      <c r="F96" s="16">
        <v>0</v>
      </c>
      <c r="G96" s="16">
        <v>11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9</v>
      </c>
      <c r="F97" s="16">
        <v>9</v>
      </c>
      <c r="G97" s="16">
        <v>10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8</v>
      </c>
      <c r="F98" s="16">
        <v>0</v>
      </c>
      <c r="G98" s="16">
        <v>8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11</v>
      </c>
      <c r="F99" s="16">
        <v>10</v>
      </c>
      <c r="G99" s="16">
        <v>10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21</v>
      </c>
      <c r="F100" s="16">
        <v>14</v>
      </c>
      <c r="G100" s="16">
        <v>13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10</v>
      </c>
      <c r="G101" s="16">
        <v>8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12</v>
      </c>
      <c r="F102" s="16">
        <v>11</v>
      </c>
      <c r="G102" s="16">
        <v>10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28</v>
      </c>
      <c r="F103" s="16">
        <v>27</v>
      </c>
      <c r="G103" s="16">
        <v>10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20</v>
      </c>
      <c r="F104" s="16">
        <v>11</v>
      </c>
      <c r="G104" s="16">
        <v>10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7</v>
      </c>
      <c r="F105" s="16">
        <v>8</v>
      </c>
      <c r="G105" s="16">
        <v>1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15</v>
      </c>
      <c r="G106" s="16">
        <v>10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2</v>
      </c>
      <c r="F107" s="16">
        <v>2</v>
      </c>
      <c r="G107" s="16">
        <v>1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9</v>
      </c>
      <c r="F108" s="16">
        <v>0</v>
      </c>
      <c r="G108" s="16">
        <v>8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8</v>
      </c>
      <c r="F109" s="16">
        <v>0</v>
      </c>
      <c r="G109" s="16">
        <v>11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12</v>
      </c>
      <c r="F110" s="16">
        <v>10</v>
      </c>
      <c r="G110" s="16">
        <v>5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1</v>
      </c>
      <c r="F111" s="16">
        <v>0</v>
      </c>
      <c r="G111" s="16">
        <v>2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1</v>
      </c>
      <c r="F112" s="16">
        <v>0</v>
      </c>
      <c r="G112" s="16">
        <v>0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3</v>
      </c>
      <c r="F113" s="16">
        <v>1</v>
      </c>
      <c r="G113" s="16">
        <v>1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5</v>
      </c>
      <c r="F114" s="16">
        <v>26</v>
      </c>
      <c r="G114" s="16">
        <v>10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1</v>
      </c>
      <c r="F115" s="16">
        <v>8</v>
      </c>
      <c r="G115" s="16">
        <v>8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5</v>
      </c>
      <c r="F116" s="16">
        <v>16</v>
      </c>
      <c r="G116" s="16">
        <v>1</v>
      </c>
    </row>
    <row r="117" spans="1:7">
      <c r="A117" s="16" t="s">
        <v>44</v>
      </c>
      <c r="B117" s="16" t="s">
        <v>45</v>
      </c>
      <c r="C117" s="16">
        <v>31</v>
      </c>
      <c r="D117" s="16" t="s">
        <v>42</v>
      </c>
      <c r="E117" s="16">
        <v>5</v>
      </c>
      <c r="F117" s="16">
        <v>13</v>
      </c>
      <c r="G117" s="16">
        <v>11</v>
      </c>
    </row>
    <row r="118" spans="1:7">
      <c r="A118" s="16" t="s">
        <v>43</v>
      </c>
      <c r="B118" s="16" t="s">
        <v>44</v>
      </c>
      <c r="C118" s="16">
        <v>30</v>
      </c>
      <c r="D118" s="16" t="s">
        <v>42</v>
      </c>
      <c r="E118" s="16">
        <v>1</v>
      </c>
      <c r="F118" s="16">
        <v>12</v>
      </c>
      <c r="G118" s="16">
        <v>1</v>
      </c>
    </row>
    <row r="119" spans="1:7">
      <c r="A119" s="16" t="s">
        <v>41</v>
      </c>
      <c r="B119" s="16" t="s">
        <v>43</v>
      </c>
      <c r="C119" s="16">
        <v>31</v>
      </c>
      <c r="D119" s="16" t="s">
        <v>42</v>
      </c>
      <c r="E119" s="16">
        <v>0</v>
      </c>
      <c r="F119" s="16">
        <v>1</v>
      </c>
      <c r="G119" s="16">
        <v>0</v>
      </c>
    </row>
    <row r="120" spans="1:7">
      <c r="A120" s="16" t="s">
        <v>152</v>
      </c>
      <c r="B120" s="16" t="s">
        <v>41</v>
      </c>
      <c r="C120" s="16">
        <v>29</v>
      </c>
      <c r="D120" s="16" t="s">
        <v>42</v>
      </c>
      <c r="E120" s="16">
        <v>6</v>
      </c>
      <c r="F120" s="16">
        <v>4</v>
      </c>
      <c r="G120" s="16">
        <v>1</v>
      </c>
    </row>
    <row r="121" spans="1:7">
      <c r="A121" s="16" t="s">
        <v>153</v>
      </c>
      <c r="B121" s="16" t="s">
        <v>152</v>
      </c>
      <c r="C121" s="16">
        <v>29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154</v>
      </c>
      <c r="B122" s="16" t="s">
        <v>153</v>
      </c>
      <c r="C122" s="16">
        <v>33</v>
      </c>
      <c r="D122" s="16" t="s">
        <v>42</v>
      </c>
      <c r="E122" s="16">
        <v>26</v>
      </c>
      <c r="F122" s="16">
        <v>26</v>
      </c>
      <c r="G122" s="16">
        <v>26</v>
      </c>
    </row>
    <row r="123" spans="1:7">
      <c r="A123" s="16" t="s">
        <v>155</v>
      </c>
      <c r="B123" s="16" t="s">
        <v>154</v>
      </c>
      <c r="C123" s="16">
        <v>35</v>
      </c>
      <c r="D123" s="16" t="s">
        <v>42</v>
      </c>
      <c r="E123" s="16">
        <v>0</v>
      </c>
      <c r="F123" s="16">
        <v>0</v>
      </c>
      <c r="G123" s="16">
        <v>0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8FBB-3E1F-408E-954A-2151050EBFE9}">
  <dimension ref="A1:N129"/>
  <sheetViews>
    <sheetView workbookViewId="0">
      <selection activeCell="H7" sqref="H7:N7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92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9968</v>
      </c>
      <c r="C4" s="16">
        <v>7424</v>
      </c>
      <c r="D4" s="16">
        <v>9835</v>
      </c>
    </row>
    <row r="5" spans="1:14">
      <c r="A5" s="16" t="s">
        <v>36</v>
      </c>
      <c r="B5" s="16">
        <v>37</v>
      </c>
      <c r="C5" s="16">
        <v>28</v>
      </c>
      <c r="D5" s="16">
        <v>36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6" t="s">
        <v>88</v>
      </c>
      <c r="C7" s="16">
        <v>31</v>
      </c>
      <c r="D7" s="16" t="s">
        <v>42</v>
      </c>
      <c r="E7" s="16">
        <v>807</v>
      </c>
      <c r="F7" s="16">
        <v>965</v>
      </c>
      <c r="G7" s="16">
        <v>293</v>
      </c>
      <c r="H7" s="16">
        <f>Tabla5[[#This Row],[P1 + P4]]*VLOOKUP(MONTH(Tabla5[[#This Row],[Fecha final]]),Tabla20[#All],2,FALSE)</f>
        <v>807</v>
      </c>
      <c r="I7" s="16">
        <f>Tabla5[[#This Row],[P2 + P5]]*VLOOKUP(MONTH(Tabla5[[#This Row],[Fecha final]]),Tabla20[#All],3,FALSE)</f>
        <v>965</v>
      </c>
      <c r="J7" s="16">
        <f>(Tabla5[[#This Row],[P3 + P6]])*VLOOKUP(MONTH(Tabla5[[#This Row],[Fecha final]]),Tabla20[#All],4,FALSE)</f>
        <v>0</v>
      </c>
      <c r="K7" s="16">
        <f>Tabla5[[#This Row],[P1 + P4]]*VLOOKUP(MONTH(Tabla5[[#This Row],[Fecha final]]),Tabla20[#All],5,FALSE)</f>
        <v>0</v>
      </c>
      <c r="L7" s="16">
        <f>Tabla5[[#This Row],[P2 + P5]]*VLOOKUP(MONTH(Tabla5[[#This Row],[Fecha final]]),Tabla20[#All],6,FALSE)</f>
        <v>0</v>
      </c>
      <c r="M7" s="16">
        <f>Tabla5[[#This Row],[P3 + P6]]*VLOOKUP(MONTH(Tabla5[[#This Row],[Fecha final]]),Tabla20[#All],7,FALSE)</f>
        <v>293</v>
      </c>
      <c r="N7" s="16">
        <f>YEAR(Tabla5[[#This Row],[Fecha final]])</f>
        <v>2020</v>
      </c>
    </row>
    <row r="8" spans="1:14">
      <c r="A8" s="17">
        <v>44043</v>
      </c>
      <c r="B8" s="16" t="s">
        <v>78</v>
      </c>
      <c r="C8" s="16">
        <v>31</v>
      </c>
      <c r="D8" s="16" t="s">
        <v>42</v>
      </c>
      <c r="E8" s="16">
        <v>649</v>
      </c>
      <c r="F8" s="16">
        <v>851</v>
      </c>
      <c r="G8" s="16">
        <v>323</v>
      </c>
      <c r="H8" s="16">
        <f>Tabla5[[#This Row],[P1 + P4]]*VLOOKUP(MONTH(Tabla5[[#This Row],[Fecha final]]),Tabla20[#All],2,FALSE)</f>
        <v>0</v>
      </c>
      <c r="I8" s="16">
        <f>Tabla5[[#This Row],[P2 + P5]]*VLOOKUP(MONTH(Tabla5[[#This Row],[Fecha final]]),Tabla20[#All],3,FALSE)</f>
        <v>0</v>
      </c>
      <c r="J8" s="16">
        <f>(Tabla5[[#This Row],[P3 + P6]])*VLOOKUP(MONTH(Tabla5[[#This Row],[Fecha final]]),Tabla20[#All],4,FALSE)</f>
        <v>108.39880000000001</v>
      </c>
      <c r="K8" s="16">
        <f>Tabla5[[#This Row],[P1 + P4]]*VLOOKUP(MONTH(Tabla5[[#This Row],[Fecha final]]),Tabla20[#All],5,FALSE)</f>
        <v>649</v>
      </c>
      <c r="L8" s="16">
        <f>Tabla5[[#This Row],[P2 + P5]]*VLOOKUP(MONTH(Tabla5[[#This Row],[Fecha final]]),Tabla20[#All],6,FALSE)</f>
        <v>0</v>
      </c>
      <c r="M8" s="16">
        <f>Tabla5[[#This Row],[P3 + P6]]*VLOOKUP(MONTH(Tabla5[[#This Row],[Fecha final]]),Tabla20[#All],7,FALSE)</f>
        <v>214.60120000000001</v>
      </c>
      <c r="N8" s="16">
        <f>YEAR(Tabla5[[#This Row],[Fecha final]])</f>
        <v>2020</v>
      </c>
    </row>
    <row r="9" spans="1:14">
      <c r="A9" s="17">
        <v>44074</v>
      </c>
      <c r="B9" s="16" t="s">
        <v>41</v>
      </c>
      <c r="C9" s="16">
        <v>30</v>
      </c>
      <c r="D9" s="16" t="s">
        <v>42</v>
      </c>
      <c r="E9" s="16">
        <v>554</v>
      </c>
      <c r="F9" s="16">
        <v>1015</v>
      </c>
      <c r="G9" s="16">
        <v>250</v>
      </c>
      <c r="H9" s="16">
        <f>Tabla5[[#This Row],[P1 + P4]]*VLOOKUP(MONTH(Tabla5[[#This Row],[Fecha final]]),Tabla20[#All],2,FALSE)</f>
        <v>0</v>
      </c>
      <c r="I9" s="16">
        <f>Tabla5[[#This Row],[P2 + P5]]*VLOOKUP(MONTH(Tabla5[[#This Row],[Fecha final]]),Tabla20[#All],3,FALSE)</f>
        <v>0</v>
      </c>
      <c r="J9" s="16">
        <f>(Tabla5[[#This Row],[P3 + P6]])*VLOOKUP(MONTH(Tabla5[[#This Row],[Fecha final]]),Tabla20[#All],4,FALSE)</f>
        <v>87.45</v>
      </c>
      <c r="K9" s="16">
        <f>Tabla5[[#This Row],[P1 + P4]]*VLOOKUP(MONTH(Tabla5[[#This Row],[Fecha final]]),Tabla20[#All],5,FALSE)</f>
        <v>554</v>
      </c>
      <c r="L9" s="16">
        <f>Tabla5[[#This Row],[P2 + P5]]*VLOOKUP(MONTH(Tabla5[[#This Row],[Fecha final]]),Tabla20[#All],6,FALSE)</f>
        <v>0</v>
      </c>
      <c r="M9" s="16">
        <f>Tabla5[[#This Row],[P3 + P6]]*VLOOKUP(MONTH(Tabla5[[#This Row],[Fecha final]]),Tabla20[#All],7,FALSE)</f>
        <v>162.55000000000001</v>
      </c>
      <c r="N9" s="16">
        <f>YEAR(Tabla5[[#This Row],[Fecha final]])</f>
        <v>2020</v>
      </c>
    </row>
    <row r="10" spans="1:14">
      <c r="A10" s="17">
        <v>44104</v>
      </c>
      <c r="B10" s="16" t="s">
        <v>43</v>
      </c>
      <c r="C10" s="16">
        <v>31</v>
      </c>
      <c r="D10" s="16" t="s">
        <v>42</v>
      </c>
      <c r="E10" s="16">
        <v>442</v>
      </c>
      <c r="F10" s="16">
        <v>1128</v>
      </c>
      <c r="G10" s="16">
        <v>305</v>
      </c>
      <c r="H10" s="16">
        <f>Tabla5[[#This Row],[P1 + P4]]*VLOOKUP(MONTH(Tabla5[[#This Row],[Fecha final]]),Tabla20[#All],2,FALSE)</f>
        <v>0</v>
      </c>
      <c r="I10" s="16">
        <f>Tabla5[[#This Row],[P2 + P5]]*VLOOKUP(MONTH(Tabla5[[#This Row],[Fecha final]]),Tabla20[#All],3,FALSE)</f>
        <v>0</v>
      </c>
      <c r="J10" s="16">
        <f>(Tabla5[[#This Row],[P3 + P6]])*VLOOKUP(MONTH(Tabla5[[#This Row],[Fecha final]]),Tabla20[#All],4,FALSE)</f>
        <v>0</v>
      </c>
      <c r="K10" s="16">
        <f>Tabla5[[#This Row],[P1 + P4]]*VLOOKUP(MONTH(Tabla5[[#This Row],[Fecha final]]),Tabla20[#All],5,FALSE)</f>
        <v>442</v>
      </c>
      <c r="L10" s="16">
        <f>Tabla5[[#This Row],[P2 + P5]]*VLOOKUP(MONTH(Tabla5[[#This Row],[Fecha final]]),Tabla20[#All],6,FALSE)</f>
        <v>1128</v>
      </c>
      <c r="M10" s="16">
        <f>Tabla5[[#This Row],[P3 + P6]]*VLOOKUP(MONTH(Tabla5[[#This Row],[Fecha final]]),Tabla20[#All],7,FALSE)</f>
        <v>305</v>
      </c>
      <c r="N10" s="16">
        <f>YEAR(Tabla5[[#This Row],[Fecha final]])</f>
        <v>2020</v>
      </c>
    </row>
    <row r="11" spans="1:14">
      <c r="A11" s="17">
        <v>44135</v>
      </c>
      <c r="B11" s="16" t="s">
        <v>44</v>
      </c>
      <c r="C11" s="16">
        <v>30</v>
      </c>
      <c r="D11" s="16" t="s">
        <v>42</v>
      </c>
      <c r="E11" s="16">
        <v>340</v>
      </c>
      <c r="F11" s="16">
        <v>1859</v>
      </c>
      <c r="G11" s="16">
        <v>363</v>
      </c>
      <c r="H11" s="16">
        <f>Tabla5[[#This Row],[P1 + P4]]*VLOOKUP(MONTH(Tabla5[[#This Row],[Fecha final]]),Tabla20[#All],2,FALSE)</f>
        <v>0</v>
      </c>
      <c r="I11" s="16">
        <f>Tabla5[[#This Row],[P2 + P5]]*VLOOKUP(MONTH(Tabla5[[#This Row],[Fecha final]]),Tabla20[#All],3,FALSE)</f>
        <v>1859</v>
      </c>
      <c r="J11" s="16">
        <f>(Tabla5[[#This Row],[P3 + P6]])*VLOOKUP(MONTH(Tabla5[[#This Row],[Fecha final]]),Tabla20[#All],4,FALSE)</f>
        <v>100.47839999999999</v>
      </c>
      <c r="K11" s="16">
        <f>Tabla5[[#This Row],[P1 + P4]]*VLOOKUP(MONTH(Tabla5[[#This Row],[Fecha final]]),Tabla20[#All],5,FALSE)</f>
        <v>0</v>
      </c>
      <c r="L11" s="16">
        <f>Tabla5[[#This Row],[P2 + P5]]*VLOOKUP(MONTH(Tabla5[[#This Row],[Fecha final]]),Tabla20[#All],6,FALSE)</f>
        <v>0</v>
      </c>
      <c r="M11" s="16">
        <f>Tabla5[[#This Row],[P3 + P6]]*VLOOKUP(MONTH(Tabla5[[#This Row],[Fecha final]]),Tabla20[#All],7,FALSE)</f>
        <v>262.52159999999998</v>
      </c>
      <c r="N11" s="16">
        <f>YEAR(Tabla5[[#This Row],[Fecha final]])</f>
        <v>2020</v>
      </c>
    </row>
    <row r="12" spans="1:14">
      <c r="A12" s="17">
        <v>44165</v>
      </c>
      <c r="B12" s="16" t="s">
        <v>45</v>
      </c>
      <c r="C12" s="16">
        <v>31</v>
      </c>
      <c r="D12" s="16" t="s">
        <v>42</v>
      </c>
      <c r="E12" s="16">
        <v>403</v>
      </c>
      <c r="F12" s="16">
        <v>2803</v>
      </c>
      <c r="G12" s="16">
        <v>433</v>
      </c>
      <c r="H12" s="16">
        <f>Tabla5[[#This Row],[P1 + P4]]*VLOOKUP(MONTH(Tabla5[[#This Row],[Fecha final]]),Tabla20[#All],2,FALSE)</f>
        <v>403</v>
      </c>
      <c r="I12" s="16">
        <f>Tabla5[[#This Row],[P2 + P5]]*VLOOKUP(MONTH(Tabla5[[#This Row],[Fecha final]]),Tabla20[#All],3,FALSE)</f>
        <v>2803</v>
      </c>
      <c r="J12" s="16">
        <f>(Tabla5[[#This Row],[P3 + P6]])*VLOOKUP(MONTH(Tabla5[[#This Row],[Fecha final]]),Tabla20[#All],4,FALSE)</f>
        <v>0</v>
      </c>
      <c r="K12" s="16">
        <f>Tabla5[[#This Row],[P1 + P4]]*VLOOKUP(MONTH(Tabla5[[#This Row],[Fecha final]]),Tabla20[#All],5,FALSE)</f>
        <v>0</v>
      </c>
      <c r="L12" s="16">
        <f>Tabla5[[#This Row],[P2 + P5]]*VLOOKUP(MONTH(Tabla5[[#This Row],[Fecha final]]),Tabla20[#All],6,FALSE)</f>
        <v>0</v>
      </c>
      <c r="M12" s="16">
        <f>Tabla5[[#This Row],[P3 + P6]]*VLOOKUP(MONTH(Tabla5[[#This Row],[Fecha final]]),Tabla20[#All],7,FALSE)</f>
        <v>433</v>
      </c>
      <c r="N12" s="16">
        <f>YEAR(Tabla5[[#This Row],[Fecha final]])</f>
        <v>2020</v>
      </c>
    </row>
    <row r="13" spans="1:14">
      <c r="A13" s="17">
        <v>44196</v>
      </c>
      <c r="B13" s="16" t="s">
        <v>93</v>
      </c>
      <c r="C13" s="16">
        <v>5</v>
      </c>
      <c r="D13" s="16" t="s">
        <v>42</v>
      </c>
      <c r="E13" s="16">
        <v>35</v>
      </c>
      <c r="F13" s="16">
        <v>141</v>
      </c>
      <c r="G13" s="16">
        <v>81</v>
      </c>
      <c r="H13" s="16">
        <f>Tabla5[[#This Row],[P1 + P4]]*VLOOKUP(MONTH(Tabla5[[#This Row],[Fecha final]]),Tabla20[#All],2,FALSE)</f>
        <v>35</v>
      </c>
      <c r="I13" s="16">
        <f>Tabla5[[#This Row],[P2 + P5]]*VLOOKUP(MONTH(Tabla5[[#This Row],[Fecha final]]),Tabla20[#All],3,FALSE)</f>
        <v>141</v>
      </c>
      <c r="J13" s="16">
        <f>(Tabla5[[#This Row],[P3 + P6]])*VLOOKUP(MONTH(Tabla5[[#This Row],[Fecha final]]),Tabla20[#All],4,FALSE)</f>
        <v>0</v>
      </c>
      <c r="K13" s="16">
        <f>Tabla5[[#This Row],[P1 + P4]]*VLOOKUP(MONTH(Tabla5[[#This Row],[Fecha final]]),Tabla20[#All],5,FALSE)</f>
        <v>0</v>
      </c>
      <c r="L13" s="16">
        <f>Tabla5[[#This Row],[P2 + P5]]*VLOOKUP(MONTH(Tabla5[[#This Row],[Fecha final]]),Tabla20[#All],6,FALSE)</f>
        <v>0</v>
      </c>
      <c r="M13" s="16">
        <f>Tabla5[[#This Row],[P3 + P6]]*VLOOKUP(MONTH(Tabla5[[#This Row],[Fecha final]]),Tabla20[#All],7,FALSE)</f>
        <v>81</v>
      </c>
      <c r="N13" s="16">
        <f>YEAR(Tabla5[[#This Row],[Fecha final]])</f>
        <v>2021</v>
      </c>
    </row>
    <row r="14" spans="1:14">
      <c r="A14" s="17">
        <v>44201</v>
      </c>
      <c r="B14" s="16" t="s">
        <v>46</v>
      </c>
      <c r="C14" s="16">
        <v>26</v>
      </c>
      <c r="D14" s="16" t="s">
        <v>42</v>
      </c>
      <c r="E14" s="16">
        <v>356</v>
      </c>
      <c r="F14" s="16">
        <v>2308</v>
      </c>
      <c r="G14" s="16">
        <v>380</v>
      </c>
      <c r="H14" s="16">
        <f>Tabla5[[#This Row],[P1 + P4]]*VLOOKUP(MONTH(Tabla5[[#This Row],[Fecha final]]),Tabla20[#All],2,FALSE)</f>
        <v>356</v>
      </c>
      <c r="I14" s="16">
        <f>Tabla5[[#This Row],[P2 + P5]]*VLOOKUP(MONTH(Tabla5[[#This Row],[Fecha final]]),Tabla20[#All],3,FALSE)</f>
        <v>2308</v>
      </c>
      <c r="J14" s="16">
        <f>(Tabla5[[#This Row],[P3 + P6]])*VLOOKUP(MONTH(Tabla5[[#This Row],[Fecha final]]),Tabla20[#All],4,FALSE)</f>
        <v>0</v>
      </c>
      <c r="K14" s="16">
        <f>Tabla5[[#This Row],[P1 + P4]]*VLOOKUP(MONTH(Tabla5[[#This Row],[Fecha final]]),Tabla20[#All],5,FALSE)</f>
        <v>0</v>
      </c>
      <c r="L14" s="16">
        <f>Tabla5[[#This Row],[P2 + P5]]*VLOOKUP(MONTH(Tabla5[[#This Row],[Fecha final]]),Tabla20[#All],6,FALSE)</f>
        <v>0</v>
      </c>
      <c r="M14" s="16">
        <f>Tabla5[[#This Row],[P3 + P6]]*VLOOKUP(MONTH(Tabla5[[#This Row],[Fecha final]]),Tabla20[#All],7,FALSE)</f>
        <v>380</v>
      </c>
      <c r="N14" s="16">
        <f>YEAR(Tabla5[[#This Row],[Fecha final]])</f>
        <v>2021</v>
      </c>
    </row>
    <row r="15" spans="1:14">
      <c r="A15" s="17">
        <v>44227</v>
      </c>
      <c r="B15" s="16" t="s">
        <v>47</v>
      </c>
      <c r="C15" s="16">
        <v>28</v>
      </c>
      <c r="D15" s="16" t="s">
        <v>42</v>
      </c>
      <c r="E15" s="16">
        <v>319</v>
      </c>
      <c r="F15" s="16">
        <v>2025</v>
      </c>
      <c r="G15" s="16">
        <v>375</v>
      </c>
      <c r="H15" s="16">
        <f>Tabla5[[#This Row],[P1 + P4]]*VLOOKUP(MONTH(Tabla5[[#This Row],[Fecha final]]),Tabla20[#All],2,FALSE)</f>
        <v>319</v>
      </c>
      <c r="I15" s="16">
        <f>Tabla5[[#This Row],[P2 + P5]]*VLOOKUP(MONTH(Tabla5[[#This Row],[Fecha final]]),Tabla20[#All],3,FALSE)</f>
        <v>2025</v>
      </c>
      <c r="J15" s="16">
        <f>(Tabla5[[#This Row],[P3 + P6]])*VLOOKUP(MONTH(Tabla5[[#This Row],[Fecha final]]),Tabla20[#All],4,FALSE)</f>
        <v>0</v>
      </c>
      <c r="K15" s="16">
        <f>Tabla5[[#This Row],[P1 + P4]]*VLOOKUP(MONTH(Tabla5[[#This Row],[Fecha final]]),Tabla20[#All],5,FALSE)</f>
        <v>0</v>
      </c>
      <c r="L15" s="16">
        <f>Tabla5[[#This Row],[P2 + P5]]*VLOOKUP(MONTH(Tabla5[[#This Row],[Fecha final]]),Tabla20[#All],6,FALSE)</f>
        <v>0</v>
      </c>
      <c r="M15" s="16">
        <f>Tabla5[[#This Row],[P3 + P6]]*VLOOKUP(MONTH(Tabla5[[#This Row],[Fecha final]]),Tabla20[#All],7,FALSE)</f>
        <v>375</v>
      </c>
      <c r="N15" s="16">
        <f>YEAR(Tabla5[[#This Row],[Fecha final]])</f>
        <v>2021</v>
      </c>
    </row>
    <row r="16" spans="1:14">
      <c r="A16" s="17">
        <v>44255</v>
      </c>
      <c r="B16" s="16" t="s">
        <v>48</v>
      </c>
      <c r="C16" s="16">
        <v>31</v>
      </c>
      <c r="D16" s="16" t="s">
        <v>42</v>
      </c>
      <c r="E16" s="16">
        <v>364</v>
      </c>
      <c r="F16" s="16">
        <v>2145</v>
      </c>
      <c r="G16" s="16">
        <v>441</v>
      </c>
      <c r="H16" s="16">
        <f>Tabla5[[#This Row],[P1 + P4]]*VLOOKUP(MONTH(Tabla5[[#This Row],[Fecha final]]),Tabla20[#All],2,FALSE)</f>
        <v>0</v>
      </c>
      <c r="I16" s="16">
        <f>Tabla5[[#This Row],[P2 + P5]]*VLOOKUP(MONTH(Tabla5[[#This Row],[Fecha final]]),Tabla20[#All],3,FALSE)</f>
        <v>2145</v>
      </c>
      <c r="J16" s="16">
        <f>(Tabla5[[#This Row],[P3 + P6]])*VLOOKUP(MONTH(Tabla5[[#This Row],[Fecha final]]),Tabla20[#All],4,FALSE)</f>
        <v>132.21180000000001</v>
      </c>
      <c r="K16" s="16">
        <f>Tabla5[[#This Row],[P1 + P4]]*VLOOKUP(MONTH(Tabla5[[#This Row],[Fecha final]]),Tabla20[#All],5,FALSE)</f>
        <v>0</v>
      </c>
      <c r="L16" s="16">
        <f>Tabla5[[#This Row],[P2 + P5]]*VLOOKUP(MONTH(Tabla5[[#This Row],[Fecha final]]),Tabla20[#All],6,FALSE)</f>
        <v>0</v>
      </c>
      <c r="M16" s="16">
        <f>Tabla5[[#This Row],[P3 + P6]]*VLOOKUP(MONTH(Tabla5[[#This Row],[Fecha final]]),Tabla20[#All],7,FALSE)</f>
        <v>308.78820000000002</v>
      </c>
      <c r="N16" s="16">
        <f>YEAR(Tabla5[[#This Row],[Fecha final]])</f>
        <v>2021</v>
      </c>
    </row>
    <row r="17" spans="1:14">
      <c r="A17" s="17">
        <v>44286</v>
      </c>
      <c r="B17" s="16" t="s">
        <v>50</v>
      </c>
      <c r="C17" s="16">
        <v>30</v>
      </c>
      <c r="D17" s="16" t="s">
        <v>42</v>
      </c>
      <c r="E17" s="16">
        <v>709</v>
      </c>
      <c r="F17" s="16">
        <v>1426</v>
      </c>
      <c r="G17" s="16">
        <v>378</v>
      </c>
      <c r="H17" s="16">
        <f>Tabla5[[#This Row],[P1 + P4]]*VLOOKUP(MONTH(Tabla5[[#This Row],[Fecha final]]),Tabla20[#All],2,FALSE)</f>
        <v>0</v>
      </c>
      <c r="I17" s="16">
        <f>Tabla5[[#This Row],[P2 + P5]]*VLOOKUP(MONTH(Tabla5[[#This Row],[Fecha final]]),Tabla20[#All],3,FALSE)</f>
        <v>0</v>
      </c>
      <c r="J17" s="16">
        <f>(Tabla5[[#This Row],[P3 + P6]])*VLOOKUP(MONTH(Tabla5[[#This Row],[Fecha final]]),Tabla20[#All],4,FALSE)</f>
        <v>0</v>
      </c>
      <c r="K17" s="16">
        <f>Tabla5[[#This Row],[P1 + P4]]*VLOOKUP(MONTH(Tabla5[[#This Row],[Fecha final]]),Tabla20[#All],5,FALSE)</f>
        <v>709</v>
      </c>
      <c r="L17" s="16">
        <f>Tabla5[[#This Row],[P2 + P5]]*VLOOKUP(MONTH(Tabla5[[#This Row],[Fecha final]]),Tabla20[#All],6,FALSE)</f>
        <v>1426</v>
      </c>
      <c r="M17" s="16">
        <f>Tabla5[[#This Row],[P3 + P6]]*VLOOKUP(MONTH(Tabla5[[#This Row],[Fecha final]]),Tabla20[#All],7,FALSE)</f>
        <v>378</v>
      </c>
      <c r="N17" s="16">
        <f>YEAR(Tabla5[[#This Row],[Fecha final]])</f>
        <v>2021</v>
      </c>
    </row>
    <row r="18" spans="1:14">
      <c r="A18" s="17">
        <v>44316</v>
      </c>
      <c r="B18" s="16" t="s">
        <v>51</v>
      </c>
      <c r="C18" s="16">
        <v>31</v>
      </c>
      <c r="D18" s="16" t="s">
        <v>42</v>
      </c>
      <c r="E18" s="16">
        <v>510</v>
      </c>
      <c r="F18" s="16">
        <v>1075</v>
      </c>
      <c r="G18" s="16">
        <v>315</v>
      </c>
      <c r="H18" s="16">
        <f>Tabla5[[#This Row],[P1 + P4]]*VLOOKUP(MONTH(Tabla5[[#This Row],[Fecha final]]),Tabla20[#All],2,FALSE)</f>
        <v>0</v>
      </c>
      <c r="I18" s="16">
        <f>Tabla5[[#This Row],[P2 + P5]]*VLOOKUP(MONTH(Tabla5[[#This Row],[Fecha final]]),Tabla20[#All],3,FALSE)</f>
        <v>0</v>
      </c>
      <c r="J18" s="16">
        <f>(Tabla5[[#This Row],[P3 + P6]])*VLOOKUP(MONTH(Tabla5[[#This Row],[Fecha final]]),Tabla20[#All],4,FALSE)</f>
        <v>0</v>
      </c>
      <c r="K18" s="16">
        <f>Tabla5[[#This Row],[P1 + P4]]*VLOOKUP(MONTH(Tabla5[[#This Row],[Fecha final]]),Tabla20[#All],5,FALSE)</f>
        <v>510</v>
      </c>
      <c r="L18" s="16">
        <f>Tabla5[[#This Row],[P2 + P5]]*VLOOKUP(MONTH(Tabla5[[#This Row],[Fecha final]]),Tabla20[#All],6,FALSE)</f>
        <v>1075</v>
      </c>
      <c r="M18" s="16">
        <f>Tabla5[[#This Row],[P3 + P6]]*VLOOKUP(MONTH(Tabla5[[#This Row],[Fecha final]]),Tabla20[#All],7,FALSE)</f>
        <v>315</v>
      </c>
      <c r="N18" s="16">
        <f>YEAR(Tabla5[[#This Row],[Fecha final]])</f>
        <v>2021</v>
      </c>
    </row>
    <row r="19" spans="1:14">
      <c r="A19" s="17">
        <v>44347</v>
      </c>
      <c r="B19" s="16" t="s">
        <v>52</v>
      </c>
      <c r="C19" s="16">
        <v>30</v>
      </c>
      <c r="D19" s="16" t="s">
        <v>42</v>
      </c>
      <c r="E19" s="16">
        <v>507</v>
      </c>
      <c r="F19" s="16">
        <v>0</v>
      </c>
      <c r="G19" s="16">
        <v>1250</v>
      </c>
      <c r="H19" s="16">
        <f>Tabla5[[#This Row],[P1 + P4]]*VLOOKUP(MONTH(Tabla5[[#This Row],[Fecha final]]),Tabla20[#All],2,FALSE)</f>
        <v>0</v>
      </c>
      <c r="I19" s="16">
        <f>Tabla5[[#This Row],[P2 + P5]]*VLOOKUP(MONTH(Tabla5[[#This Row],[Fecha final]]),Tabla20[#All],3,FALSE)</f>
        <v>0</v>
      </c>
      <c r="J19" s="16">
        <f>(Tabla5[[#This Row],[P3 + P6]])*VLOOKUP(MONTH(Tabla5[[#This Row],[Fecha final]]),Tabla20[#All],4,FALSE)</f>
        <v>437.25</v>
      </c>
      <c r="K19" s="16">
        <f>Tabla5[[#This Row],[P1 + P4]]*VLOOKUP(MONTH(Tabla5[[#This Row],[Fecha final]]),Tabla20[#All],5,FALSE)</f>
        <v>507</v>
      </c>
      <c r="L19" s="16">
        <f>Tabla5[[#This Row],[P2 + P5]]*VLOOKUP(MONTH(Tabla5[[#This Row],[Fecha final]]),Tabla20[#All],6,FALSE)</f>
        <v>0</v>
      </c>
      <c r="M19" s="16">
        <f>Tabla5[[#This Row],[P3 + P6]]*VLOOKUP(MONTH(Tabla5[[#This Row],[Fecha final]]),Tabla20[#All],7,FALSE)</f>
        <v>812.75</v>
      </c>
      <c r="N19" s="16">
        <f>YEAR(Tabla5[[#This Row],[Fecha final]])</f>
        <v>2021</v>
      </c>
    </row>
    <row r="20" spans="1:14">
      <c r="A20" s="17">
        <v>44377</v>
      </c>
      <c r="B20" s="16" t="s">
        <v>53</v>
      </c>
      <c r="C20" s="16">
        <v>31</v>
      </c>
      <c r="D20" s="16" t="s">
        <v>42</v>
      </c>
      <c r="E20" s="16">
        <v>1144</v>
      </c>
      <c r="F20" s="16">
        <v>694</v>
      </c>
      <c r="G20" s="16">
        <v>400</v>
      </c>
      <c r="H20" s="16">
        <f>Tabla5[[#This Row],[P1 + P4]]*VLOOKUP(MONTH(Tabla5[[#This Row],[Fecha final]]),Tabla20[#All],2,FALSE)</f>
        <v>1144</v>
      </c>
      <c r="I20" s="16">
        <f>Tabla5[[#This Row],[P2 + P5]]*VLOOKUP(MONTH(Tabla5[[#This Row],[Fecha final]]),Tabla20[#All],3,FALSE)</f>
        <v>694</v>
      </c>
      <c r="J20" s="16">
        <f>(Tabla5[[#This Row],[P3 + P6]])*VLOOKUP(MONTH(Tabla5[[#This Row],[Fecha final]]),Tabla20[#All],4,FALSE)</f>
        <v>0</v>
      </c>
      <c r="K20" s="16">
        <f>Tabla5[[#This Row],[P1 + P4]]*VLOOKUP(MONTH(Tabla5[[#This Row],[Fecha final]]),Tabla20[#All],5,FALSE)</f>
        <v>0</v>
      </c>
      <c r="L20" s="16">
        <f>Tabla5[[#This Row],[P2 + P5]]*VLOOKUP(MONTH(Tabla5[[#This Row],[Fecha final]]),Tabla20[#All],6,FALSE)</f>
        <v>0</v>
      </c>
      <c r="M20" s="16">
        <f>Tabla5[[#This Row],[P3 + P6]]*VLOOKUP(MONTH(Tabla5[[#This Row],[Fecha final]]),Tabla20[#All],7,FALSE)</f>
        <v>400</v>
      </c>
      <c r="N20" s="16">
        <f>YEAR(Tabla5[[#This Row],[Fecha final]])</f>
        <v>2021</v>
      </c>
    </row>
    <row r="21" spans="1:14">
      <c r="A21" s="17">
        <v>44408</v>
      </c>
      <c r="B21" s="16" t="s">
        <v>54</v>
      </c>
      <c r="C21" s="16">
        <v>31</v>
      </c>
      <c r="D21" s="16" t="s">
        <v>42</v>
      </c>
      <c r="E21" s="16">
        <v>367</v>
      </c>
      <c r="F21" s="16">
        <v>0</v>
      </c>
      <c r="G21" s="16">
        <v>1365</v>
      </c>
      <c r="H21" s="16">
        <f>Tabla5[[#This Row],[P1 + P4]]*VLOOKUP(MONTH(Tabla5[[#This Row],[Fecha final]]),Tabla20[#All],2,FALSE)</f>
        <v>0</v>
      </c>
      <c r="I21" s="16">
        <f>Tabla5[[#This Row],[P2 + P5]]*VLOOKUP(MONTH(Tabla5[[#This Row],[Fecha final]]),Tabla20[#All],3,FALSE)</f>
        <v>0</v>
      </c>
      <c r="J21" s="16">
        <f>(Tabla5[[#This Row],[P3 + P6]])*VLOOKUP(MONTH(Tabla5[[#This Row],[Fecha final]]),Tabla20[#All],4,FALSE)</f>
        <v>458.09399999999999</v>
      </c>
      <c r="K21" s="16">
        <f>Tabla5[[#This Row],[P1 + P4]]*VLOOKUP(MONTH(Tabla5[[#This Row],[Fecha final]]),Tabla20[#All],5,FALSE)</f>
        <v>367</v>
      </c>
      <c r="L21" s="16">
        <f>Tabla5[[#This Row],[P2 + P5]]*VLOOKUP(MONTH(Tabla5[[#This Row],[Fecha final]]),Tabla20[#All],6,FALSE)</f>
        <v>0</v>
      </c>
      <c r="M21" s="16">
        <f>Tabla5[[#This Row],[P3 + P6]]*VLOOKUP(MONTH(Tabla5[[#This Row],[Fecha final]]),Tabla20[#All],7,FALSE)</f>
        <v>906.90599999999995</v>
      </c>
      <c r="N21" s="16">
        <f>YEAR(Tabla5[[#This Row],[Fecha final]])</f>
        <v>2021</v>
      </c>
    </row>
    <row r="22" spans="1:14">
      <c r="A22" s="17">
        <v>44439</v>
      </c>
      <c r="B22" s="16" t="s">
        <v>55</v>
      </c>
      <c r="C22" s="16">
        <v>30</v>
      </c>
      <c r="D22" s="16" t="s">
        <v>42</v>
      </c>
      <c r="E22" s="16">
        <v>624</v>
      </c>
      <c r="F22" s="16">
        <v>0</v>
      </c>
      <c r="G22" s="16">
        <v>1264</v>
      </c>
      <c r="H22" s="16">
        <f>Tabla5[[#This Row],[P1 + P4]]*VLOOKUP(MONTH(Tabla5[[#This Row],[Fecha final]]),Tabla20[#All],2,FALSE)</f>
        <v>0</v>
      </c>
      <c r="I22" s="16">
        <f>Tabla5[[#This Row],[P2 + P5]]*VLOOKUP(MONTH(Tabla5[[#This Row],[Fecha final]]),Tabla20[#All],3,FALSE)</f>
        <v>0</v>
      </c>
      <c r="J22" s="16">
        <f>(Tabla5[[#This Row],[P3 + P6]])*VLOOKUP(MONTH(Tabla5[[#This Row],[Fecha final]]),Tabla20[#All],4,FALSE)</f>
        <v>442.1472</v>
      </c>
      <c r="K22" s="16">
        <f>Tabla5[[#This Row],[P1 + P4]]*VLOOKUP(MONTH(Tabla5[[#This Row],[Fecha final]]),Tabla20[#All],5,FALSE)</f>
        <v>624</v>
      </c>
      <c r="L22" s="16">
        <f>Tabla5[[#This Row],[P2 + P5]]*VLOOKUP(MONTH(Tabla5[[#This Row],[Fecha final]]),Tabla20[#All],6,FALSE)</f>
        <v>0</v>
      </c>
      <c r="M22" s="16">
        <f>Tabla5[[#This Row],[P3 + P6]]*VLOOKUP(MONTH(Tabla5[[#This Row],[Fecha final]]),Tabla20[#All],7,FALSE)</f>
        <v>821.8528</v>
      </c>
      <c r="N22" s="16">
        <f>YEAR(Tabla5[[#This Row],[Fecha final]])</f>
        <v>2021</v>
      </c>
    </row>
    <row r="23" spans="1:14">
      <c r="A23" s="17">
        <v>44469</v>
      </c>
      <c r="B23" s="16" t="s">
        <v>57</v>
      </c>
      <c r="C23" s="16">
        <v>31</v>
      </c>
      <c r="D23" s="16" t="s">
        <v>42</v>
      </c>
      <c r="E23" s="16">
        <v>784</v>
      </c>
      <c r="F23" s="16">
        <v>505</v>
      </c>
      <c r="G23" s="16">
        <v>423</v>
      </c>
      <c r="H23" s="16">
        <f>Tabla5[[#This Row],[P1 + P4]]*VLOOKUP(MONTH(Tabla5[[#This Row],[Fecha final]]),Tabla20[#All],2,FALSE)</f>
        <v>0</v>
      </c>
      <c r="I23" s="16">
        <f>Tabla5[[#This Row],[P2 + P5]]*VLOOKUP(MONTH(Tabla5[[#This Row],[Fecha final]]),Tabla20[#All],3,FALSE)</f>
        <v>0</v>
      </c>
      <c r="J23" s="16">
        <f>(Tabla5[[#This Row],[P3 + P6]])*VLOOKUP(MONTH(Tabla5[[#This Row],[Fecha final]]),Tabla20[#All],4,FALSE)</f>
        <v>0</v>
      </c>
      <c r="K23" s="16">
        <f>Tabla5[[#This Row],[P1 + P4]]*VLOOKUP(MONTH(Tabla5[[#This Row],[Fecha final]]),Tabla20[#All],5,FALSE)</f>
        <v>784</v>
      </c>
      <c r="L23" s="16">
        <f>Tabla5[[#This Row],[P2 + P5]]*VLOOKUP(MONTH(Tabla5[[#This Row],[Fecha final]]),Tabla20[#All],6,FALSE)</f>
        <v>505</v>
      </c>
      <c r="M23" s="16">
        <f>Tabla5[[#This Row],[P3 + P6]]*VLOOKUP(MONTH(Tabla5[[#This Row],[Fecha final]]),Tabla20[#All],7,FALSE)</f>
        <v>423</v>
      </c>
      <c r="N23" s="16">
        <f>YEAR(Tabla5[[#This Row],[Fecha final]])</f>
        <v>2021</v>
      </c>
    </row>
    <row r="24" spans="1:14">
      <c r="A24" s="17">
        <v>44500</v>
      </c>
      <c r="B24" s="16" t="s">
        <v>58</v>
      </c>
      <c r="C24" s="16">
        <v>30</v>
      </c>
      <c r="D24" s="16" t="s">
        <v>42</v>
      </c>
      <c r="E24" s="16">
        <v>0</v>
      </c>
      <c r="F24" s="16">
        <v>1303</v>
      </c>
      <c r="G24" s="16">
        <v>1426</v>
      </c>
      <c r="H24" s="16">
        <f>Tabla5[[#This Row],[P1 + P4]]*VLOOKUP(MONTH(Tabla5[[#This Row],[Fecha final]]),Tabla20[#All],2,FALSE)</f>
        <v>0</v>
      </c>
      <c r="I24" s="16">
        <f>Tabla5[[#This Row],[P2 + P5]]*VLOOKUP(MONTH(Tabla5[[#This Row],[Fecha final]]),Tabla20[#All],3,FALSE)</f>
        <v>1303</v>
      </c>
      <c r="J24" s="16">
        <f>(Tabla5[[#This Row],[P3 + P6]])*VLOOKUP(MONTH(Tabla5[[#This Row],[Fecha final]]),Tabla20[#All],4,FALSE)</f>
        <v>394.71679999999998</v>
      </c>
      <c r="K24" s="16">
        <f>Tabla5[[#This Row],[P1 + P4]]*VLOOKUP(MONTH(Tabla5[[#This Row],[Fecha final]]),Tabla20[#All],5,FALSE)</f>
        <v>0</v>
      </c>
      <c r="L24" s="16">
        <f>Tabla5[[#This Row],[P2 + P5]]*VLOOKUP(MONTH(Tabla5[[#This Row],[Fecha final]]),Tabla20[#All],6,FALSE)</f>
        <v>0</v>
      </c>
      <c r="M24" s="16">
        <f>Tabla5[[#This Row],[P3 + P6]]*VLOOKUP(MONTH(Tabla5[[#This Row],[Fecha final]]),Tabla20[#All],7,FALSE)</f>
        <v>1031.2831999999999</v>
      </c>
      <c r="N24" s="16">
        <f>YEAR(Tabla5[[#This Row],[Fecha final]])</f>
        <v>2021</v>
      </c>
    </row>
    <row r="25" spans="1:14">
      <c r="A25" s="17">
        <v>44530</v>
      </c>
      <c r="B25" s="16" t="s">
        <v>59</v>
      </c>
      <c r="C25" s="16">
        <v>2</v>
      </c>
      <c r="D25" s="16" t="s">
        <v>42</v>
      </c>
      <c r="E25" s="16">
        <v>149</v>
      </c>
      <c r="F25" s="16">
        <v>100</v>
      </c>
      <c r="G25" s="16">
        <v>36</v>
      </c>
      <c r="H25" s="16">
        <f>Tabla5[[#This Row],[P1 + P4]]*VLOOKUP(MONTH(Tabla5[[#This Row],[Fecha final]]),Tabla20[#All],2,FALSE)</f>
        <v>149</v>
      </c>
      <c r="I25" s="16">
        <f>Tabla5[[#This Row],[P2 + P5]]*VLOOKUP(MONTH(Tabla5[[#This Row],[Fecha final]]),Tabla20[#All],3,FALSE)</f>
        <v>100</v>
      </c>
      <c r="J25" s="16">
        <f>(Tabla5[[#This Row],[P3 + P6]])*VLOOKUP(MONTH(Tabla5[[#This Row],[Fecha final]]),Tabla20[#All],4,FALSE)</f>
        <v>0</v>
      </c>
      <c r="K25" s="16">
        <f>Tabla5[[#This Row],[P1 + P4]]*VLOOKUP(MONTH(Tabla5[[#This Row],[Fecha final]]),Tabla20[#All],5,FALSE)</f>
        <v>0</v>
      </c>
      <c r="L25" s="16">
        <f>Tabla5[[#This Row],[P2 + P5]]*VLOOKUP(MONTH(Tabla5[[#This Row],[Fecha final]]),Tabla20[#All],6,FALSE)</f>
        <v>0</v>
      </c>
      <c r="M25" s="16">
        <f>Tabla5[[#This Row],[P3 + P6]]*VLOOKUP(MONTH(Tabla5[[#This Row],[Fecha final]]),Tabla20[#All],7,FALSE)</f>
        <v>36</v>
      </c>
      <c r="N25" s="16">
        <f>YEAR(Tabla5[[#This Row],[Fecha final]])</f>
        <v>2021</v>
      </c>
    </row>
    <row r="26" spans="1:14">
      <c r="A26" s="17">
        <v>44532</v>
      </c>
      <c r="B26" s="16" t="s">
        <v>60</v>
      </c>
      <c r="C26" s="16">
        <v>29</v>
      </c>
      <c r="D26" s="16" t="s">
        <v>42</v>
      </c>
      <c r="E26" s="16">
        <v>1596</v>
      </c>
      <c r="F26" s="16">
        <v>885</v>
      </c>
      <c r="G26" s="16">
        <v>550</v>
      </c>
      <c r="H26" s="16">
        <f>Tabla5[[#This Row],[P1 + P4]]*VLOOKUP(MONTH(Tabla5[[#This Row],[Fecha final]]),Tabla20[#All],2,FALSE)</f>
        <v>1596</v>
      </c>
      <c r="I26" s="16">
        <f>Tabla5[[#This Row],[P2 + P5]]*VLOOKUP(MONTH(Tabla5[[#This Row],[Fecha final]]),Tabla20[#All],3,FALSE)</f>
        <v>885</v>
      </c>
      <c r="J26" s="16">
        <f>(Tabla5[[#This Row],[P3 + P6]])*VLOOKUP(MONTH(Tabla5[[#This Row],[Fecha final]]),Tabla20[#All],4,FALSE)</f>
        <v>0</v>
      </c>
      <c r="K26" s="16">
        <f>Tabla5[[#This Row],[P1 + P4]]*VLOOKUP(MONTH(Tabla5[[#This Row],[Fecha final]]),Tabla20[#All],5,FALSE)</f>
        <v>0</v>
      </c>
      <c r="L26" s="16">
        <f>Tabla5[[#This Row],[P2 + P5]]*VLOOKUP(MONTH(Tabla5[[#This Row],[Fecha final]]),Tabla20[#All],6,FALSE)</f>
        <v>0</v>
      </c>
      <c r="M26" s="16">
        <f>Tabla5[[#This Row],[P3 + P6]]*VLOOKUP(MONTH(Tabla5[[#This Row],[Fecha final]]),Tabla20[#All],7,FALSE)</f>
        <v>550</v>
      </c>
      <c r="N26" s="16">
        <f>YEAR(Tabla5[[#This Row],[Fecha final]])</f>
        <v>2021</v>
      </c>
    </row>
    <row r="27" spans="1:14">
      <c r="A27" s="17">
        <v>44561</v>
      </c>
      <c r="B27" s="16" t="s">
        <v>61</v>
      </c>
      <c r="C27" s="16">
        <v>31</v>
      </c>
      <c r="D27" s="16" t="s">
        <v>42</v>
      </c>
      <c r="E27" s="16">
        <v>1914</v>
      </c>
      <c r="F27" s="16">
        <v>984</v>
      </c>
      <c r="G27" s="16">
        <v>725</v>
      </c>
      <c r="H27" s="16">
        <f>Tabla5[[#This Row],[P1 + P4]]*VLOOKUP(MONTH(Tabla5[[#This Row],[Fecha final]]),Tabla20[#All],2,FALSE)</f>
        <v>1914</v>
      </c>
      <c r="I27" s="16">
        <f>Tabla5[[#This Row],[P2 + P5]]*VLOOKUP(MONTH(Tabla5[[#This Row],[Fecha final]]),Tabla20[#All],3,FALSE)</f>
        <v>984</v>
      </c>
      <c r="J27" s="16">
        <f>(Tabla5[[#This Row],[P3 + P6]])*VLOOKUP(MONTH(Tabla5[[#This Row],[Fecha final]]),Tabla20[#All],4,FALSE)</f>
        <v>0</v>
      </c>
      <c r="K27" s="16">
        <f>Tabla5[[#This Row],[P1 + P4]]*VLOOKUP(MONTH(Tabla5[[#This Row],[Fecha final]]),Tabla20[#All],5,FALSE)</f>
        <v>0</v>
      </c>
      <c r="L27" s="16">
        <f>Tabla5[[#This Row],[P2 + P5]]*VLOOKUP(MONTH(Tabla5[[#This Row],[Fecha final]]),Tabla20[#All],6,FALSE)</f>
        <v>0</v>
      </c>
      <c r="M27" s="16">
        <f>Tabla5[[#This Row],[P3 + P6]]*VLOOKUP(MONTH(Tabla5[[#This Row],[Fecha final]]),Tabla20[#All],7,FALSE)</f>
        <v>725</v>
      </c>
      <c r="N27" s="16">
        <f>YEAR(Tabla5[[#This Row],[Fecha final]])</f>
        <v>2022</v>
      </c>
    </row>
    <row r="28" spans="1:14">
      <c r="A28" s="17">
        <v>44592</v>
      </c>
      <c r="B28" s="16" t="s">
        <v>62</v>
      </c>
      <c r="C28" s="16">
        <v>28</v>
      </c>
      <c r="D28" s="16" t="s">
        <v>42</v>
      </c>
      <c r="E28" s="16">
        <v>1541</v>
      </c>
      <c r="F28" s="16">
        <v>902</v>
      </c>
      <c r="G28" s="16">
        <v>503</v>
      </c>
      <c r="H28" s="16">
        <f>Tabla5[[#This Row],[P1 + P4]]*VLOOKUP(MONTH(Tabla5[[#This Row],[Fecha final]]),Tabla20[#All],2,FALSE)</f>
        <v>1541</v>
      </c>
      <c r="I28" s="16">
        <f>Tabla5[[#This Row],[P2 + P5]]*VLOOKUP(MONTH(Tabla5[[#This Row],[Fecha final]]),Tabla20[#All],3,FALSE)</f>
        <v>902</v>
      </c>
      <c r="J28" s="16">
        <f>(Tabla5[[#This Row],[P3 + P6]])*VLOOKUP(MONTH(Tabla5[[#This Row],[Fecha final]]),Tabla20[#All],4,FALSE)</f>
        <v>0</v>
      </c>
      <c r="K28" s="16">
        <f>Tabla5[[#This Row],[P1 + P4]]*VLOOKUP(MONTH(Tabla5[[#This Row],[Fecha final]]),Tabla20[#All],5,FALSE)</f>
        <v>0</v>
      </c>
      <c r="L28" s="16">
        <f>Tabla5[[#This Row],[P2 + P5]]*VLOOKUP(MONTH(Tabla5[[#This Row],[Fecha final]]),Tabla20[#All],6,FALSE)</f>
        <v>0</v>
      </c>
      <c r="M28" s="16">
        <f>Tabla5[[#This Row],[P3 + P6]]*VLOOKUP(MONTH(Tabla5[[#This Row],[Fecha final]]),Tabla20[#All],7,FALSE)</f>
        <v>503</v>
      </c>
      <c r="N28" s="16">
        <f>YEAR(Tabla5[[#This Row],[Fecha final]])</f>
        <v>2022</v>
      </c>
    </row>
    <row r="29" spans="1:14">
      <c r="A29" s="17">
        <v>44620</v>
      </c>
      <c r="B29" s="16" t="s">
        <v>63</v>
      </c>
      <c r="C29" s="16">
        <v>31</v>
      </c>
      <c r="D29" s="16" t="s">
        <v>42</v>
      </c>
      <c r="E29" s="16">
        <v>0</v>
      </c>
      <c r="F29" s="16">
        <v>1489</v>
      </c>
      <c r="G29" s="16">
        <v>1515</v>
      </c>
      <c r="H29" s="16">
        <f>Tabla5[[#This Row],[P1 + P4]]*VLOOKUP(MONTH(Tabla5[[#This Row],[Fecha final]]),Tabla20[#All],2,FALSE)</f>
        <v>0</v>
      </c>
      <c r="I29" s="16">
        <f>Tabla5[[#This Row],[P2 + P5]]*VLOOKUP(MONTH(Tabla5[[#This Row],[Fecha final]]),Tabla20[#All],3,FALSE)</f>
        <v>1489</v>
      </c>
      <c r="J29" s="16">
        <f>(Tabla5[[#This Row],[P3 + P6]])*VLOOKUP(MONTH(Tabla5[[#This Row],[Fecha final]]),Tabla20[#All],4,FALSE)</f>
        <v>454.197</v>
      </c>
      <c r="K29" s="16">
        <f>Tabla5[[#This Row],[P1 + P4]]*VLOOKUP(MONTH(Tabla5[[#This Row],[Fecha final]]),Tabla20[#All],5,FALSE)</f>
        <v>0</v>
      </c>
      <c r="L29" s="16">
        <f>Tabla5[[#This Row],[P2 + P5]]*VLOOKUP(MONTH(Tabla5[[#This Row],[Fecha final]]),Tabla20[#All],6,FALSE)</f>
        <v>0</v>
      </c>
      <c r="M29" s="16">
        <f>Tabla5[[#This Row],[P3 + P6]]*VLOOKUP(MONTH(Tabla5[[#This Row],[Fecha final]]),Tabla20[#All],7,FALSE)</f>
        <v>1060.8030000000001</v>
      </c>
      <c r="N29" s="16">
        <f>YEAR(Tabla5[[#This Row],[Fecha final]])</f>
        <v>2022</v>
      </c>
    </row>
    <row r="30" spans="1:14">
      <c r="A30" s="17">
        <v>44651</v>
      </c>
      <c r="B30" s="16" t="s">
        <v>65</v>
      </c>
      <c r="C30" s="16">
        <v>30</v>
      </c>
      <c r="D30" s="16" t="s">
        <v>42</v>
      </c>
      <c r="E30" s="16">
        <v>1021</v>
      </c>
      <c r="F30" s="16">
        <v>655</v>
      </c>
      <c r="G30" s="16">
        <v>449</v>
      </c>
      <c r="H30" s="16">
        <f>Tabla5[[#This Row],[P1 + P4]]*VLOOKUP(MONTH(Tabla5[[#This Row],[Fecha final]]),Tabla20[#All],2,FALSE)</f>
        <v>0</v>
      </c>
      <c r="I30" s="16">
        <f>Tabla5[[#This Row],[P2 + P5]]*VLOOKUP(MONTH(Tabla5[[#This Row],[Fecha final]]),Tabla20[#All],3,FALSE)</f>
        <v>0</v>
      </c>
      <c r="J30" s="16">
        <f>(Tabla5[[#This Row],[P3 + P6]])*VLOOKUP(MONTH(Tabla5[[#This Row],[Fecha final]]),Tabla20[#All],4,FALSE)</f>
        <v>0</v>
      </c>
      <c r="K30" s="16">
        <f>Tabla5[[#This Row],[P1 + P4]]*VLOOKUP(MONTH(Tabla5[[#This Row],[Fecha final]]),Tabla20[#All],5,FALSE)</f>
        <v>1021</v>
      </c>
      <c r="L30" s="16">
        <f>Tabla5[[#This Row],[P2 + P5]]*VLOOKUP(MONTH(Tabla5[[#This Row],[Fecha final]]),Tabla20[#All],6,FALSE)</f>
        <v>655</v>
      </c>
      <c r="M30" s="16">
        <f>Tabla5[[#This Row],[P3 + P6]]*VLOOKUP(MONTH(Tabla5[[#This Row],[Fecha final]]),Tabla20[#All],7,FALSE)</f>
        <v>449</v>
      </c>
      <c r="N30" s="16">
        <f>YEAR(Tabla5[[#This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847</v>
      </c>
      <c r="F31" s="16">
        <v>640</v>
      </c>
      <c r="G31" s="16">
        <v>381</v>
      </c>
      <c r="H31" s="16">
        <f>Tabla5[[#This Row],[P1 + P4]]*VLOOKUP(MONTH(Tabla5[[#This Row],[Fecha final]]),Tabla20[#All],2,FALSE)</f>
        <v>0</v>
      </c>
      <c r="I31" s="16">
        <f>Tabla5[[#This Row],[P2 + P5]]*VLOOKUP(MONTH(Tabla5[[#This Row],[Fecha final]]),Tabla20[#All],3,FALSE)</f>
        <v>0</v>
      </c>
      <c r="J31" s="16">
        <f>(Tabla5[[#This Row],[P3 + P6]])*VLOOKUP(MONTH(Tabla5[[#This Row],[Fecha final]]),Tabla20[#All],4,FALSE)</f>
        <v>0</v>
      </c>
      <c r="K31" s="16">
        <f>Tabla5[[#This Row],[P1 + P4]]*VLOOKUP(MONTH(Tabla5[[#This Row],[Fecha final]]),Tabla20[#All],5,FALSE)</f>
        <v>847</v>
      </c>
      <c r="L31" s="16">
        <f>Tabla5[[#This Row],[P2 + P5]]*VLOOKUP(MONTH(Tabla5[[#This Row],[Fecha final]]),Tabla20[#All],6,FALSE)</f>
        <v>640</v>
      </c>
      <c r="M31" s="16">
        <f>Tabla5[[#This Row],[P3 + P6]]*VLOOKUP(MONTH(Tabla5[[#This Row],[Fecha final]]),Tabla20[#All],7,FALSE)</f>
        <v>381</v>
      </c>
      <c r="N31" s="16">
        <f>YEAR(Tabla5[[#This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834</v>
      </c>
      <c r="F32" s="16">
        <v>0</v>
      </c>
      <c r="G32" s="16">
        <v>1402</v>
      </c>
      <c r="H32" s="16">
        <f>Tabla5[[#This Row],[P1 + P4]]*VLOOKUP(MONTH(Tabla5[[#This Row],[Fecha final]]),Tabla20[#All],2,FALSE)</f>
        <v>0</v>
      </c>
      <c r="I32" s="16">
        <f>Tabla5[[#This Row],[P2 + P5]]*VLOOKUP(MONTH(Tabla5[[#This Row],[Fecha final]]),Tabla20[#All],3,FALSE)</f>
        <v>0</v>
      </c>
      <c r="J32" s="16">
        <f>(Tabla5[[#This Row],[P3 + P6]])*VLOOKUP(MONTH(Tabla5[[#This Row],[Fecha final]]),Tabla20[#All],4,FALSE)</f>
        <v>490.4196</v>
      </c>
      <c r="K32" s="16">
        <f>Tabla5[[#This Row],[P1 + P4]]*VLOOKUP(MONTH(Tabla5[[#This Row],[Fecha final]]),Tabla20[#All],5,FALSE)</f>
        <v>834</v>
      </c>
      <c r="L32" s="16">
        <f>Tabla5[[#This Row],[P2 + P5]]*VLOOKUP(MONTH(Tabla5[[#This Row],[Fecha final]]),Tabla20[#All],6,FALSE)</f>
        <v>0</v>
      </c>
      <c r="M32" s="16">
        <f>Tabla5[[#This Row],[P3 + P6]]*VLOOKUP(MONTH(Tabla5[[#This Row],[Fecha final]]),Tabla20[#All],7,FALSE)</f>
        <v>911.58040000000005</v>
      </c>
      <c r="N32" s="16">
        <f>YEAR(Tabla5[[#This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1233</v>
      </c>
      <c r="F33" s="16">
        <v>925</v>
      </c>
      <c r="G33" s="16">
        <v>422</v>
      </c>
      <c r="H33" s="16">
        <f>Tabla5[[#This Row],[P1 + P4]]*VLOOKUP(MONTH(Tabla5[[#This Row],[Fecha final]]),Tabla20[#All],2,FALSE)</f>
        <v>1233</v>
      </c>
      <c r="I33" s="16">
        <f>Tabla5[[#This Row],[P2 + P5]]*VLOOKUP(MONTH(Tabla5[[#This Row],[Fecha final]]),Tabla20[#All],3,FALSE)</f>
        <v>925</v>
      </c>
      <c r="J33" s="16">
        <f>(Tabla5[[#This Row],[P3 + P6]])*VLOOKUP(MONTH(Tabla5[[#This Row],[Fecha final]]),Tabla20[#All],4,FALSE)</f>
        <v>0</v>
      </c>
      <c r="K33" s="16">
        <f>Tabla5[[#This Row],[P1 + P4]]*VLOOKUP(MONTH(Tabla5[[#This Row],[Fecha final]]),Tabla20[#All],5,FALSE)</f>
        <v>0</v>
      </c>
      <c r="L33" s="16">
        <f>Tabla5[[#This Row],[P2 + P5]]*VLOOKUP(MONTH(Tabla5[[#This Row],[Fecha final]]),Tabla20[#All],6,FALSE)</f>
        <v>0</v>
      </c>
      <c r="M33" s="16">
        <f>Tabla5[[#This Row],[P3 + P6]]*VLOOKUP(MONTH(Tabla5[[#This Row],[Fecha final]]),Tabla20[#All],7,FALSE)</f>
        <v>422</v>
      </c>
      <c r="N33" s="16">
        <f>YEAR(Tabla5[[#This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548</v>
      </c>
      <c r="F34" s="16">
        <v>0</v>
      </c>
      <c r="G34" s="16">
        <v>1588</v>
      </c>
      <c r="H34" s="16">
        <f>Tabla5[[#This Row],[P1 + P4]]*VLOOKUP(MONTH(Tabla5[[#This Row],[Fecha final]]),Tabla20[#All],2,FALSE)</f>
        <v>0</v>
      </c>
      <c r="I34" s="16">
        <f>Tabla5[[#This Row],[P2 + P5]]*VLOOKUP(MONTH(Tabla5[[#This Row],[Fecha final]]),Tabla20[#All],3,FALSE)</f>
        <v>0</v>
      </c>
      <c r="J34" s="16">
        <f>(Tabla5[[#This Row],[P3 + P6]])*VLOOKUP(MONTH(Tabla5[[#This Row],[Fecha final]]),Tabla20[#All],4,FALSE)</f>
        <v>532.93280000000004</v>
      </c>
      <c r="K34" s="16">
        <f>Tabla5[[#This Row],[P1 + P4]]*VLOOKUP(MONTH(Tabla5[[#This Row],[Fecha final]]),Tabla20[#All],5,FALSE)</f>
        <v>548</v>
      </c>
      <c r="L34" s="16">
        <f>Tabla5[[#This Row],[P2 + P5]]*VLOOKUP(MONTH(Tabla5[[#This Row],[Fecha final]]),Tabla20[#All],6,FALSE)</f>
        <v>0</v>
      </c>
      <c r="M34" s="16">
        <f>Tabla5[[#This Row],[P3 + P6]]*VLOOKUP(MONTH(Tabla5[[#This Row],[Fecha final]]),Tabla20[#All],7,FALSE)</f>
        <v>1055.0672</v>
      </c>
      <c r="N34" s="16">
        <f>YEAR(Tabla5[[#This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675</v>
      </c>
      <c r="F35" s="16">
        <v>0</v>
      </c>
      <c r="G35" s="16">
        <v>1280</v>
      </c>
      <c r="H35" s="16">
        <f>Tabla5[[#This Row],[P1 + P4]]*VLOOKUP(MONTH(Tabla5[[#This Row],[Fecha final]]),Tabla20[#All],2,FALSE)</f>
        <v>0</v>
      </c>
      <c r="I35" s="16">
        <f>Tabla5[[#This Row],[P2 + P5]]*VLOOKUP(MONTH(Tabla5[[#This Row],[Fecha final]]),Tabla20[#All],3,FALSE)</f>
        <v>0</v>
      </c>
      <c r="J35" s="16">
        <f>(Tabla5[[#This Row],[P3 + P6]])*VLOOKUP(MONTH(Tabla5[[#This Row],[Fecha final]]),Tabla20[#All],4,FALSE)</f>
        <v>447.74400000000003</v>
      </c>
      <c r="K35" s="16">
        <f>Tabla5[[#This Row],[P1 + P4]]*VLOOKUP(MONTH(Tabla5[[#This Row],[Fecha final]]),Tabla20[#All],5,FALSE)</f>
        <v>675</v>
      </c>
      <c r="L35" s="16">
        <f>Tabla5[[#This Row],[P2 + P5]]*VLOOKUP(MONTH(Tabla5[[#This Row],[Fecha final]]),Tabla20[#All],6,FALSE)</f>
        <v>0</v>
      </c>
      <c r="M35" s="16">
        <f>Tabla5[[#This Row],[P3 + P6]]*VLOOKUP(MONTH(Tabla5[[#This Row],[Fecha final]]),Tabla20[#All],7,FALSE)</f>
        <v>832.25599999999997</v>
      </c>
      <c r="N35" s="16">
        <f>YEAR(Tabla5[[#This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710</v>
      </c>
      <c r="F36" s="16">
        <v>545</v>
      </c>
      <c r="G36" s="16">
        <v>380</v>
      </c>
      <c r="H36" s="16">
        <f>Tabla5[[#This Row],[P1 + P4]]*VLOOKUP(MONTH(Tabla5[[#This Row],[Fecha final]]),Tabla20[#All],2,FALSE)</f>
        <v>0</v>
      </c>
      <c r="I36" s="16">
        <f>Tabla5[[#This Row],[P2 + P5]]*VLOOKUP(MONTH(Tabla5[[#This Row],[Fecha final]]),Tabla20[#All],3,FALSE)</f>
        <v>0</v>
      </c>
      <c r="J36" s="16">
        <f>(Tabla5[[#This Row],[P3 + P6]])*VLOOKUP(MONTH(Tabla5[[#This Row],[Fecha final]]),Tabla20[#All],4,FALSE)</f>
        <v>0</v>
      </c>
      <c r="K36" s="16">
        <f>Tabla5[[#This Row],[P1 + P4]]*VLOOKUP(MONTH(Tabla5[[#This Row],[Fecha final]]),Tabla20[#All],5,FALSE)</f>
        <v>710</v>
      </c>
      <c r="L36" s="16">
        <f>Tabla5[[#This Row],[P2 + P5]]*VLOOKUP(MONTH(Tabla5[[#This Row],[Fecha final]]),Tabla20[#All],6,FALSE)</f>
        <v>545</v>
      </c>
      <c r="M36" s="16">
        <f>Tabla5[[#This Row],[P3 + P6]]*VLOOKUP(MONTH(Tabla5[[#This Row],[Fecha final]]),Tabla20[#All],7,FALSE)</f>
        <v>380</v>
      </c>
      <c r="N36" s="16">
        <f>YEAR(Tabla5[[#This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928</v>
      </c>
      <c r="G37" s="16">
        <v>1071</v>
      </c>
      <c r="H37" s="16">
        <f>Tabla5[[#This Row],[P1 + P4]]*VLOOKUP(MONTH(Tabla5[[#This Row],[Fecha final]]),Tabla20[#All],2,FALSE)</f>
        <v>0</v>
      </c>
      <c r="I37" s="16">
        <f>Tabla5[[#This Row],[P2 + P5]]*VLOOKUP(MONTH(Tabla5[[#This Row],[Fecha final]]),Tabla20[#All],3,FALSE)</f>
        <v>928</v>
      </c>
      <c r="J37" s="16">
        <f>(Tabla5[[#This Row],[P3 + P6]])*VLOOKUP(MONTH(Tabla5[[#This Row],[Fecha final]]),Tabla20[#All],4,FALSE)</f>
        <v>296.45279999999997</v>
      </c>
      <c r="K37" s="16">
        <f>Tabla5[[#This Row],[P1 + P4]]*VLOOKUP(MONTH(Tabla5[[#This Row],[Fecha final]]),Tabla20[#All],5,FALSE)</f>
        <v>0</v>
      </c>
      <c r="L37" s="16">
        <f>Tabla5[[#This Row],[P2 + P5]]*VLOOKUP(MONTH(Tabla5[[#This Row],[Fecha final]]),Tabla20[#All],6,FALSE)</f>
        <v>0</v>
      </c>
      <c r="M37" s="16">
        <f>Tabla5[[#This Row],[P3 + P6]]*VLOOKUP(MONTH(Tabla5[[#This Row],[Fecha final]]),Tabla20[#All],7,FALSE)</f>
        <v>774.54719999999998</v>
      </c>
      <c r="N37" s="16">
        <f>YEAR(Tabla5[[#This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1158</v>
      </c>
      <c r="F38" s="16">
        <v>751</v>
      </c>
      <c r="G38" s="16">
        <v>526</v>
      </c>
      <c r="H38" s="16">
        <f>Tabla5[[#This Row],[P1 + P4]]*VLOOKUP(MONTH(Tabla5[[#This Row],[Fecha final]]),Tabla20[#All],2,FALSE)</f>
        <v>1158</v>
      </c>
      <c r="I38" s="16">
        <f>Tabla5[[#This Row],[P2 + P5]]*VLOOKUP(MONTH(Tabla5[[#This Row],[Fecha final]]),Tabla20[#All],3,FALSE)</f>
        <v>751</v>
      </c>
      <c r="J38" s="16">
        <f>(Tabla5[[#This Row],[P3 + P6]])*VLOOKUP(MONTH(Tabla5[[#This Row],[Fecha final]]),Tabla20[#All],4,FALSE)</f>
        <v>0</v>
      </c>
      <c r="K38" s="16">
        <f>Tabla5[[#This Row],[P1 + P4]]*VLOOKUP(MONTH(Tabla5[[#This Row],[Fecha final]]),Tabla20[#All],5,FALSE)</f>
        <v>0</v>
      </c>
      <c r="L38" s="16">
        <f>Tabla5[[#This Row],[P2 + P5]]*VLOOKUP(MONTH(Tabla5[[#This Row],[Fecha final]]),Tabla20[#All],6,FALSE)</f>
        <v>0</v>
      </c>
      <c r="M38" s="16">
        <f>Tabla5[[#This Row],[P3 + P6]]*VLOOKUP(MONTH(Tabla5[[#This Row],[Fecha final]]),Tabla20[#All],7,FALSE)</f>
        <v>526</v>
      </c>
      <c r="N38" s="16">
        <f>YEAR(Tabla5[[#This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1499</v>
      </c>
      <c r="F39" s="16">
        <v>937</v>
      </c>
      <c r="G39" s="16">
        <v>630</v>
      </c>
      <c r="H39" s="16">
        <f>Tabla5[[#This Row],[P1 + P4]]*VLOOKUP(MONTH(Tabla5[[#This Row],[Fecha final]]),Tabla20[#All],2,FALSE)</f>
        <v>1499</v>
      </c>
      <c r="I39" s="16">
        <f>Tabla5[[#This Row],[P2 + P5]]*VLOOKUP(MONTH(Tabla5[[#This Row],[Fecha final]]),Tabla20[#All],3,FALSE)</f>
        <v>937</v>
      </c>
      <c r="J39" s="16">
        <f>(Tabla5[[#This Row],[P3 + P6]])*VLOOKUP(MONTH(Tabla5[[#This Row],[Fecha final]]),Tabla20[#All],4,FALSE)</f>
        <v>0</v>
      </c>
      <c r="K39" s="16">
        <f>Tabla5[[#This Row],[P1 + P4]]*VLOOKUP(MONTH(Tabla5[[#This Row],[Fecha final]]),Tabla20[#All],5,FALSE)</f>
        <v>0</v>
      </c>
      <c r="L39" s="16">
        <f>Tabla5[[#This Row],[P2 + P5]]*VLOOKUP(MONTH(Tabla5[[#This Row],[Fecha final]]),Tabla20[#All],6,FALSE)</f>
        <v>0</v>
      </c>
      <c r="M39" s="16">
        <f>Tabla5[[#This Row],[P3 + P6]]*VLOOKUP(MONTH(Tabla5[[#This Row],[Fecha final]]),Tabla20[#All],7,FALSE)</f>
        <v>630</v>
      </c>
      <c r="N39" s="16">
        <f>YEAR(Tabla5[[#This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1443</v>
      </c>
      <c r="F40" s="16">
        <v>937</v>
      </c>
      <c r="G40" s="16">
        <v>483</v>
      </c>
      <c r="H40" s="16">
        <f>Tabla5[[#This Row],[P1 + P4]]*VLOOKUP(MONTH(Tabla5[[#This Row],[Fecha final]]),Tabla20[#All],2,FALSE)</f>
        <v>1443</v>
      </c>
      <c r="I40" s="16">
        <f>Tabla5[[#This Row],[P2 + P5]]*VLOOKUP(MONTH(Tabla5[[#This Row],[Fecha final]]),Tabla20[#All],3,FALSE)</f>
        <v>937</v>
      </c>
      <c r="J40" s="16">
        <f>(Tabla5[[#This Row],[P3 + P6]])*VLOOKUP(MONTH(Tabla5[[#This Row],[Fecha final]]),Tabla20[#All],4,FALSE)</f>
        <v>0</v>
      </c>
      <c r="K40" s="16">
        <f>Tabla5[[#This Row],[P1 + P4]]*VLOOKUP(MONTH(Tabla5[[#This Row],[Fecha final]]),Tabla20[#All],5,FALSE)</f>
        <v>0</v>
      </c>
      <c r="L40" s="16">
        <f>Tabla5[[#This Row],[P2 + P5]]*VLOOKUP(MONTH(Tabla5[[#This Row],[Fecha final]]),Tabla20[#All],6,FALSE)</f>
        <v>0</v>
      </c>
      <c r="M40" s="16">
        <f>Tabla5[[#This Row],[P3 + P6]]*VLOOKUP(MONTH(Tabla5[[#This Row],[Fecha final]]),Tabla20[#All],7,FALSE)</f>
        <v>483</v>
      </c>
      <c r="N40" s="16">
        <f>YEAR(Tabla5[[#This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1106</v>
      </c>
      <c r="G41" s="16">
        <v>1223</v>
      </c>
      <c r="H41" s="16">
        <f>Tabla5[[#This Row],[P1 + P4]]*VLOOKUP(MONTH(Tabla5[[#This Row],[Fecha final]]),Tabla20[#All],2,FALSE)</f>
        <v>0</v>
      </c>
      <c r="I41" s="16">
        <f>Tabla5[[#This Row],[P2 + P5]]*VLOOKUP(MONTH(Tabla5[[#This Row],[Fecha final]]),Tabla20[#All],3,FALSE)</f>
        <v>1106</v>
      </c>
      <c r="J41" s="16">
        <f>(Tabla5[[#This Row],[P3 + P6]])*VLOOKUP(MONTH(Tabla5[[#This Row],[Fecha final]]),Tabla20[#All],4,FALSE)</f>
        <v>366.65539999999999</v>
      </c>
      <c r="K41" s="16">
        <f>Tabla5[[#This Row],[P1 + P4]]*VLOOKUP(MONTH(Tabla5[[#This Row],[Fecha final]]),Tabla20[#All],5,FALSE)</f>
        <v>0</v>
      </c>
      <c r="L41" s="16">
        <f>Tabla5[[#This Row],[P2 + P5]]*VLOOKUP(MONTH(Tabla5[[#This Row],[Fecha final]]),Tabla20[#All],6,FALSE)</f>
        <v>0</v>
      </c>
      <c r="M41" s="16">
        <f>Tabla5[[#This Row],[P3 + P6]]*VLOOKUP(MONTH(Tabla5[[#This Row],[Fecha final]]),Tabla20[#All],7,FALSE)</f>
        <v>856.34460000000001</v>
      </c>
      <c r="N41" s="16">
        <f>YEAR(Tabla5[[#This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0</v>
      </c>
      <c r="F70" s="16">
        <v>16</v>
      </c>
      <c r="G70" s="16">
        <v>1</v>
      </c>
    </row>
    <row r="71" spans="1:7">
      <c r="A71" s="16" t="s">
        <v>48</v>
      </c>
      <c r="B71" s="16" t="s">
        <v>50</v>
      </c>
      <c r="C71" s="16">
        <v>30</v>
      </c>
      <c r="D71" s="16" t="s">
        <v>42</v>
      </c>
      <c r="E71" s="16">
        <v>2</v>
      </c>
      <c r="F71" s="16">
        <v>30</v>
      </c>
      <c r="G71" s="16">
        <v>7</v>
      </c>
    </row>
    <row r="72" spans="1:7">
      <c r="A72" s="16" t="s">
        <v>47</v>
      </c>
      <c r="B72" s="16" t="s">
        <v>48</v>
      </c>
      <c r="C72" s="16">
        <v>31</v>
      </c>
      <c r="D72" s="16" t="s">
        <v>42</v>
      </c>
      <c r="E72" s="16">
        <v>50</v>
      </c>
      <c r="F72" s="16">
        <v>10</v>
      </c>
      <c r="G72" s="16">
        <v>6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64</v>
      </c>
      <c r="F73" s="16">
        <v>7</v>
      </c>
      <c r="G73" s="16">
        <v>3</v>
      </c>
    </row>
    <row r="74" spans="1:7">
      <c r="A74" s="16" t="s">
        <v>93</v>
      </c>
      <c r="B74" s="16" t="s">
        <v>46</v>
      </c>
      <c r="C74" s="16">
        <v>26</v>
      </c>
      <c r="D74" s="16" t="s">
        <v>42</v>
      </c>
      <c r="E74" s="16">
        <v>73</v>
      </c>
      <c r="F74" s="16">
        <v>25</v>
      </c>
      <c r="G74" s="16">
        <v>7</v>
      </c>
    </row>
    <row r="75" spans="1:7">
      <c r="A75" s="16" t="s">
        <v>45</v>
      </c>
      <c r="B75" s="16" t="s">
        <v>93</v>
      </c>
      <c r="C75" s="16">
        <v>5</v>
      </c>
      <c r="D75" s="16" t="s">
        <v>42</v>
      </c>
      <c r="E75" s="16">
        <v>11</v>
      </c>
      <c r="F75" s="16">
        <v>14</v>
      </c>
      <c r="G75" s="16">
        <v>8</v>
      </c>
    </row>
    <row r="76" spans="1:7">
      <c r="A76" s="16" t="s">
        <v>44</v>
      </c>
      <c r="B76" s="16" t="s">
        <v>45</v>
      </c>
      <c r="C76" s="16">
        <v>31</v>
      </c>
      <c r="D76" s="16" t="s">
        <v>42</v>
      </c>
      <c r="E76" s="16">
        <v>91</v>
      </c>
      <c r="F76" s="16">
        <v>26</v>
      </c>
      <c r="G76" s="16">
        <v>1</v>
      </c>
    </row>
    <row r="77" spans="1:7">
      <c r="A77" s="16" t="s">
        <v>43</v>
      </c>
      <c r="B77" s="16" t="s">
        <v>44</v>
      </c>
      <c r="C77" s="16">
        <v>30</v>
      </c>
      <c r="D77" s="16" t="s">
        <v>42</v>
      </c>
      <c r="E77" s="16">
        <v>67</v>
      </c>
      <c r="F77" s="16">
        <v>10</v>
      </c>
      <c r="G77" s="16">
        <v>2</v>
      </c>
    </row>
    <row r="78" spans="1:7">
      <c r="A78" s="16" t="s">
        <v>41</v>
      </c>
      <c r="B78" s="16" t="s">
        <v>43</v>
      </c>
      <c r="C78" s="16">
        <v>31</v>
      </c>
      <c r="D78" s="16" t="s">
        <v>42</v>
      </c>
      <c r="E78" s="16">
        <v>23</v>
      </c>
      <c r="F78" s="16">
        <v>46</v>
      </c>
      <c r="G78" s="16">
        <v>1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0</v>
      </c>
      <c r="F79" s="16">
        <v>37</v>
      </c>
      <c r="G79" s="16">
        <v>1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0</v>
      </c>
      <c r="F80" s="16">
        <v>21</v>
      </c>
      <c r="G80" s="16">
        <v>2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2</v>
      </c>
      <c r="F81" s="16">
        <v>11</v>
      </c>
      <c r="G81" s="16">
        <v>2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63</v>
      </c>
      <c r="C87" s="16">
        <v>63</v>
      </c>
      <c r="D87" s="16">
        <v>63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20</v>
      </c>
      <c r="G89" s="16">
        <v>20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20</v>
      </c>
      <c r="F90" s="16">
        <v>20</v>
      </c>
      <c r="G90" s="16">
        <v>16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24</v>
      </c>
      <c r="F91" s="16">
        <v>20</v>
      </c>
      <c r="G91" s="16">
        <v>16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20</v>
      </c>
      <c r="F92" s="16">
        <v>20</v>
      </c>
      <c r="G92" s="16">
        <v>16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20</v>
      </c>
      <c r="G93" s="16">
        <v>24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8</v>
      </c>
      <c r="F94" s="16">
        <v>12</v>
      </c>
      <c r="G94" s="16">
        <v>4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12</v>
      </c>
      <c r="F95" s="16">
        <v>0</v>
      </c>
      <c r="G95" s="16">
        <v>16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16</v>
      </c>
      <c r="F96" s="16">
        <v>0</v>
      </c>
      <c r="G96" s="16">
        <v>16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16</v>
      </c>
      <c r="F97" s="16">
        <v>16</v>
      </c>
      <c r="G97" s="16">
        <v>12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12</v>
      </c>
      <c r="F98" s="16">
        <v>0</v>
      </c>
      <c r="G98" s="16">
        <v>16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12</v>
      </c>
      <c r="F99" s="16">
        <v>12</v>
      </c>
      <c r="G99" s="16">
        <v>12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20</v>
      </c>
      <c r="F100" s="16">
        <v>20</v>
      </c>
      <c r="G100" s="16">
        <v>16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20</v>
      </c>
      <c r="G101" s="16">
        <v>20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20</v>
      </c>
      <c r="F102" s="16">
        <v>20</v>
      </c>
      <c r="G102" s="16">
        <v>20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24</v>
      </c>
      <c r="F103" s="16">
        <v>24</v>
      </c>
      <c r="G103" s="16">
        <v>20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24</v>
      </c>
      <c r="F104" s="16">
        <v>24</v>
      </c>
      <c r="G104" s="16">
        <v>20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63</v>
      </c>
      <c r="F105" s="16">
        <v>63</v>
      </c>
      <c r="G105" s="16">
        <v>63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63</v>
      </c>
      <c r="F106" s="16">
        <v>63</v>
      </c>
      <c r="G106" s="16">
        <v>63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63</v>
      </c>
      <c r="F107" s="16">
        <v>63</v>
      </c>
      <c r="G107" s="16">
        <v>63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63</v>
      </c>
      <c r="F108" s="16">
        <v>63</v>
      </c>
      <c r="G108" s="16">
        <v>63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63</v>
      </c>
      <c r="F109" s="16">
        <v>63</v>
      </c>
      <c r="G109" s="16">
        <v>63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63</v>
      </c>
      <c r="F110" s="16">
        <v>63</v>
      </c>
      <c r="G110" s="16">
        <v>63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63</v>
      </c>
      <c r="F111" s="16">
        <v>63</v>
      </c>
      <c r="G111" s="16">
        <v>63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12</v>
      </c>
      <c r="F112" s="16">
        <v>16</v>
      </c>
      <c r="G112" s="16">
        <v>12</v>
      </c>
    </row>
    <row r="113" spans="1:7">
      <c r="A113" s="16" t="s">
        <v>48</v>
      </c>
      <c r="B113" s="16" t="s">
        <v>50</v>
      </c>
      <c r="C113" s="16">
        <v>30</v>
      </c>
      <c r="D113" s="16" t="s">
        <v>42</v>
      </c>
      <c r="E113" s="16">
        <v>13</v>
      </c>
      <c r="F113" s="16">
        <v>16</v>
      </c>
      <c r="G113" s="16">
        <v>12</v>
      </c>
    </row>
    <row r="114" spans="1:7">
      <c r="A114" s="16" t="s">
        <v>47</v>
      </c>
      <c r="B114" s="16" t="s">
        <v>48</v>
      </c>
      <c r="C114" s="16">
        <v>31</v>
      </c>
      <c r="D114" s="16" t="s">
        <v>42</v>
      </c>
      <c r="E114" s="16">
        <v>9</v>
      </c>
      <c r="F114" s="16">
        <v>18</v>
      </c>
      <c r="G114" s="16">
        <v>13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11</v>
      </c>
      <c r="F115" s="16">
        <v>22</v>
      </c>
      <c r="G115" s="16">
        <v>14</v>
      </c>
    </row>
    <row r="116" spans="1:7">
      <c r="A116" s="16" t="s">
        <v>93</v>
      </c>
      <c r="B116" s="16" t="s">
        <v>46</v>
      </c>
      <c r="C116" s="16">
        <v>26</v>
      </c>
      <c r="D116" s="16" t="s">
        <v>42</v>
      </c>
      <c r="E116" s="16">
        <v>11</v>
      </c>
      <c r="F116" s="16">
        <v>22</v>
      </c>
      <c r="G116" s="16">
        <v>14</v>
      </c>
    </row>
    <row r="117" spans="1:7">
      <c r="A117" s="16" t="s">
        <v>45</v>
      </c>
      <c r="B117" s="16" t="s">
        <v>93</v>
      </c>
      <c r="C117" s="16">
        <v>5</v>
      </c>
      <c r="D117" s="16" t="s">
        <v>42</v>
      </c>
      <c r="E117" s="16">
        <v>2</v>
      </c>
      <c r="F117" s="16">
        <v>3</v>
      </c>
      <c r="G117" s="16">
        <v>2</v>
      </c>
    </row>
    <row r="118" spans="1:7">
      <c r="A118" s="16" t="s">
        <v>44</v>
      </c>
      <c r="B118" s="16" t="s">
        <v>45</v>
      </c>
      <c r="C118" s="16">
        <v>31</v>
      </c>
      <c r="D118" s="16" t="s">
        <v>42</v>
      </c>
      <c r="E118" s="16">
        <v>11</v>
      </c>
      <c r="F118" s="16">
        <v>22</v>
      </c>
      <c r="G118" s="16">
        <v>12</v>
      </c>
    </row>
    <row r="119" spans="1:7">
      <c r="A119" s="16" t="s">
        <v>43</v>
      </c>
      <c r="B119" s="16" t="s">
        <v>44</v>
      </c>
      <c r="C119" s="16">
        <v>30</v>
      </c>
      <c r="D119" s="16" t="s">
        <v>42</v>
      </c>
      <c r="E119" s="16">
        <v>9</v>
      </c>
      <c r="F119" s="16">
        <v>17</v>
      </c>
      <c r="G119" s="16">
        <v>12</v>
      </c>
    </row>
    <row r="120" spans="1:7">
      <c r="A120" s="16" t="s">
        <v>41</v>
      </c>
      <c r="B120" s="16" t="s">
        <v>43</v>
      </c>
      <c r="C120" s="16">
        <v>31</v>
      </c>
      <c r="D120" s="16" t="s">
        <v>42</v>
      </c>
      <c r="E120" s="16">
        <v>10</v>
      </c>
      <c r="F120" s="16">
        <v>11</v>
      </c>
      <c r="G120" s="16">
        <v>9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11</v>
      </c>
      <c r="F121" s="16">
        <v>10</v>
      </c>
      <c r="G121" s="16">
        <v>6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11</v>
      </c>
      <c r="F122" s="16">
        <v>11</v>
      </c>
      <c r="G122" s="16">
        <v>10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13</v>
      </c>
      <c r="F123" s="16">
        <v>12</v>
      </c>
      <c r="G123" s="16">
        <v>10</v>
      </c>
    </row>
    <row r="126" spans="1:7">
      <c r="A126" s="16" t="s">
        <v>85</v>
      </c>
    </row>
    <row r="129" spans="1:1">
      <c r="A129" s="16" t="s">
        <v>86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55D5-7694-4F95-8E62-BCF26D741941}">
  <dimension ref="A1:N129"/>
  <sheetViews>
    <sheetView workbookViewId="0">
      <selection activeCell="H7" sqref="H7:N7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226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864</v>
      </c>
      <c r="C4" s="16">
        <v>645</v>
      </c>
      <c r="D4" s="16">
        <v>983</v>
      </c>
    </row>
    <row r="5" spans="1:14">
      <c r="A5" s="16" t="s">
        <v>36</v>
      </c>
      <c r="B5" s="16">
        <v>35</v>
      </c>
      <c r="C5" s="16">
        <v>26</v>
      </c>
      <c r="D5" s="16">
        <v>39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44006</v>
      </c>
      <c r="B7" s="16" t="s">
        <v>256</v>
      </c>
      <c r="C7" s="16">
        <v>32</v>
      </c>
      <c r="D7" s="16" t="s">
        <v>42</v>
      </c>
      <c r="E7" s="16">
        <v>104</v>
      </c>
      <c r="F7" s="16">
        <v>224</v>
      </c>
      <c r="G7" s="16">
        <v>0</v>
      </c>
      <c r="H7" s="16">
        <f>Tabla17[[#This Row],[P1 + P4]]*VLOOKUP(MONTH(Tabla17[[#This Row],[Fecha final]]),Tabla20[#All],2,FALSE)</f>
        <v>104</v>
      </c>
      <c r="I7" s="16">
        <f>Tabla17[[#This Row],[P2 + P5]]*VLOOKUP(MONTH(Tabla17[[#This Row],[Fecha final]]),Tabla20[#All],3,FALSE)</f>
        <v>224</v>
      </c>
      <c r="J7" s="16">
        <f>(Tabla17[[#This Row],[P3 + P6]])*VLOOKUP(MONTH(Tabla17[[#This Row],[Fecha final]]),Tabla20[#All],4,FALSE)</f>
        <v>0</v>
      </c>
      <c r="K7" s="16">
        <f>Tabla17[[#This Row],[P1 + P4]]*VLOOKUP(MONTH(Tabla17[[#This Row],[Fecha final]]),Tabla20[#All],5,FALSE)</f>
        <v>0</v>
      </c>
      <c r="L7" s="16">
        <f>Tabla17[[#This Row],[P2 + P5]]*VLOOKUP(MONTH(Tabla17[[#This Row],[Fecha final]]),Tabla20[#All],6,FALSE)</f>
        <v>0</v>
      </c>
      <c r="M7" s="16">
        <f>Tabla17[[#This Row],[P3 + P6]]*VLOOKUP(MONTH(Tabla17[[#This Row],[Fecha final]]),Tabla20[#All],7,FALSE)</f>
        <v>0</v>
      </c>
      <c r="N7" s="16">
        <f>YEAR(Tabla17[[#This Row],[Fecha final]])</f>
        <v>2020</v>
      </c>
    </row>
    <row r="8" spans="1:14">
      <c r="A8" s="17">
        <v>44038</v>
      </c>
      <c r="B8" s="16" t="s">
        <v>255</v>
      </c>
      <c r="C8" s="16">
        <v>31</v>
      </c>
      <c r="D8" s="16" t="s">
        <v>42</v>
      </c>
      <c r="E8" s="16">
        <v>119</v>
      </c>
      <c r="F8" s="16">
        <v>288</v>
      </c>
      <c r="G8" s="16">
        <v>0</v>
      </c>
      <c r="H8" s="16">
        <f>Tabla17[[#This Row],[P1 + P4]]*VLOOKUP(MONTH(Tabla17[[#This Row],[Fecha final]]),Tabla20[#All],2,FALSE)</f>
        <v>0</v>
      </c>
      <c r="I8" s="16">
        <f>Tabla17[[#This Row],[P2 + P5]]*VLOOKUP(MONTH(Tabla17[[#This Row],[Fecha final]]),Tabla20[#All],3,FALSE)</f>
        <v>0</v>
      </c>
      <c r="J8" s="16">
        <f>(Tabla17[[#This Row],[P3 + P6]])*VLOOKUP(MONTH(Tabla17[[#This Row],[Fecha final]]),Tabla20[#All],4,FALSE)</f>
        <v>0</v>
      </c>
      <c r="K8" s="16">
        <f>Tabla17[[#This Row],[P1 + P4]]*VLOOKUP(MONTH(Tabla17[[#This Row],[Fecha final]]),Tabla20[#All],5,FALSE)</f>
        <v>119</v>
      </c>
      <c r="L8" s="16">
        <f>Tabla17[[#This Row],[P2 + P5]]*VLOOKUP(MONTH(Tabla17[[#This Row],[Fecha final]]),Tabla20[#All],6,FALSE)</f>
        <v>0</v>
      </c>
      <c r="M8" s="16">
        <f>Tabla17[[#This Row],[P3 + P6]]*VLOOKUP(MONTH(Tabla17[[#This Row],[Fecha final]]),Tabla20[#All],7,FALSE)</f>
        <v>0</v>
      </c>
      <c r="N8" s="16">
        <f>YEAR(Tabla17[[#This Row],[Fecha final]])</f>
        <v>2020</v>
      </c>
    </row>
    <row r="9" spans="1:14">
      <c r="A9" s="17">
        <v>44069</v>
      </c>
      <c r="B9" s="16" t="s">
        <v>130</v>
      </c>
      <c r="C9" s="16">
        <v>29</v>
      </c>
      <c r="D9" s="16" t="s">
        <v>42</v>
      </c>
      <c r="E9" s="16">
        <v>111</v>
      </c>
      <c r="F9" s="16">
        <v>222</v>
      </c>
      <c r="G9" s="16">
        <v>0</v>
      </c>
      <c r="H9" s="16">
        <f>Tabla17[[#This Row],[P1 + P4]]*VLOOKUP(MONTH(Tabla17[[#This Row],[Fecha final]]),Tabla20[#All],2,FALSE)</f>
        <v>0</v>
      </c>
      <c r="I9" s="16">
        <f>Tabla17[[#This Row],[P2 + P5]]*VLOOKUP(MONTH(Tabla17[[#This Row],[Fecha final]]),Tabla20[#All],3,FALSE)</f>
        <v>0</v>
      </c>
      <c r="J9" s="16">
        <f>(Tabla17[[#This Row],[P3 + P6]])*VLOOKUP(MONTH(Tabla17[[#This Row],[Fecha final]]),Tabla20[#All],4,FALSE)</f>
        <v>0</v>
      </c>
      <c r="K9" s="16">
        <f>Tabla17[[#This Row],[P1 + P4]]*VLOOKUP(MONTH(Tabla17[[#This Row],[Fecha final]]),Tabla20[#All],5,FALSE)</f>
        <v>111</v>
      </c>
      <c r="L9" s="16">
        <f>Tabla17[[#This Row],[P2 + P5]]*VLOOKUP(MONTH(Tabla17[[#This Row],[Fecha final]]),Tabla20[#All],6,FALSE)</f>
        <v>0</v>
      </c>
      <c r="M9" s="16">
        <f>Tabla17[[#This Row],[P3 + P6]]*VLOOKUP(MONTH(Tabla17[[#This Row],[Fecha final]]),Tabla20[#All],7,FALSE)</f>
        <v>0</v>
      </c>
      <c r="N9" s="16">
        <f>YEAR(Tabla17[[#This Row],[Fecha final]])</f>
        <v>2020</v>
      </c>
    </row>
    <row r="10" spans="1:14">
      <c r="A10" s="17">
        <v>44098</v>
      </c>
      <c r="B10" s="16" t="s">
        <v>129</v>
      </c>
      <c r="C10" s="16">
        <v>32</v>
      </c>
      <c r="D10" s="16" t="s">
        <v>42</v>
      </c>
      <c r="E10" s="16">
        <v>148</v>
      </c>
      <c r="F10" s="16">
        <v>337</v>
      </c>
      <c r="G10" s="16">
        <v>0</v>
      </c>
      <c r="H10" s="16">
        <f>Tabla17[[#This Row],[P1 + P4]]*VLOOKUP(MONTH(Tabla17[[#This Row],[Fecha final]]),Tabla20[#All],2,FALSE)</f>
        <v>0</v>
      </c>
      <c r="I10" s="16">
        <f>Tabla17[[#This Row],[P2 + P5]]*VLOOKUP(MONTH(Tabla17[[#This Row],[Fecha final]]),Tabla20[#All],3,FALSE)</f>
        <v>0</v>
      </c>
      <c r="J10" s="16">
        <f>(Tabla17[[#This Row],[P3 + P6]])*VLOOKUP(MONTH(Tabla17[[#This Row],[Fecha final]]),Tabla20[#All],4,FALSE)</f>
        <v>0</v>
      </c>
      <c r="K10" s="16">
        <f>Tabla17[[#This Row],[P1 + P4]]*VLOOKUP(MONTH(Tabla17[[#This Row],[Fecha final]]),Tabla20[#All],5,FALSE)</f>
        <v>148</v>
      </c>
      <c r="L10" s="16">
        <f>Tabla17[[#This Row],[P2 + P5]]*VLOOKUP(MONTH(Tabla17[[#This Row],[Fecha final]]),Tabla20[#All],6,FALSE)</f>
        <v>337</v>
      </c>
      <c r="M10" s="16">
        <f>Tabla17[[#This Row],[P3 + P6]]*VLOOKUP(MONTH(Tabla17[[#This Row],[Fecha final]]),Tabla20[#All],7,FALSE)</f>
        <v>0</v>
      </c>
      <c r="N10" s="16">
        <f>YEAR(Tabla17[[#This Row],[Fecha final]])</f>
        <v>2020</v>
      </c>
    </row>
    <row r="11" spans="1:14">
      <c r="A11" s="17">
        <v>44130</v>
      </c>
      <c r="B11" s="16" t="s">
        <v>254</v>
      </c>
      <c r="C11" s="16">
        <v>30</v>
      </c>
      <c r="D11" s="16" t="s">
        <v>42</v>
      </c>
      <c r="E11" s="16">
        <v>327</v>
      </c>
      <c r="F11" s="16">
        <v>539</v>
      </c>
      <c r="G11" s="16">
        <v>0</v>
      </c>
      <c r="H11" s="16">
        <f>Tabla17[[#This Row],[P1 + P4]]*VLOOKUP(MONTH(Tabla17[[#This Row],[Fecha final]]),Tabla20[#All],2,FALSE)</f>
        <v>0</v>
      </c>
      <c r="I11" s="16">
        <f>Tabla17[[#This Row],[P2 + P5]]*VLOOKUP(MONTH(Tabla17[[#This Row],[Fecha final]]),Tabla20[#All],3,FALSE)</f>
        <v>539</v>
      </c>
      <c r="J11" s="16">
        <f>(Tabla17[[#This Row],[P3 + P6]])*VLOOKUP(MONTH(Tabla17[[#This Row],[Fecha final]]),Tabla20[#All],4,FALSE)</f>
        <v>0</v>
      </c>
      <c r="K11" s="16">
        <f>Tabla17[[#This Row],[P1 + P4]]*VLOOKUP(MONTH(Tabla17[[#This Row],[Fecha final]]),Tabla20[#All],5,FALSE)</f>
        <v>0</v>
      </c>
      <c r="L11" s="16">
        <f>Tabla17[[#This Row],[P2 + P5]]*VLOOKUP(MONTH(Tabla17[[#This Row],[Fecha final]]),Tabla20[#All],6,FALSE)</f>
        <v>0</v>
      </c>
      <c r="M11" s="16">
        <f>Tabla17[[#This Row],[P3 + P6]]*VLOOKUP(MONTH(Tabla17[[#This Row],[Fecha final]]),Tabla20[#All],7,FALSE)</f>
        <v>0</v>
      </c>
      <c r="N11" s="16">
        <f>YEAR(Tabla17[[#This Row],[Fecha final]])</f>
        <v>2020</v>
      </c>
    </row>
    <row r="12" spans="1:14">
      <c r="A12" s="17">
        <v>44160</v>
      </c>
      <c r="B12" s="16" t="s">
        <v>127</v>
      </c>
      <c r="C12" s="16">
        <v>32</v>
      </c>
      <c r="D12" s="16" t="s">
        <v>42</v>
      </c>
      <c r="E12" s="16">
        <v>411</v>
      </c>
      <c r="F12" s="16">
        <v>554</v>
      </c>
      <c r="G12" s="16">
        <v>0</v>
      </c>
      <c r="H12" s="16">
        <f>Tabla17[[#This Row],[P1 + P4]]*VLOOKUP(MONTH(Tabla17[[#This Row],[Fecha final]]),Tabla20[#All],2,FALSE)</f>
        <v>411</v>
      </c>
      <c r="I12" s="16">
        <f>Tabla17[[#This Row],[P2 + P5]]*VLOOKUP(MONTH(Tabla17[[#This Row],[Fecha final]]),Tabla20[#All],3,FALSE)</f>
        <v>554</v>
      </c>
      <c r="J12" s="16">
        <f>(Tabla17[[#This Row],[P3 + P6]])*VLOOKUP(MONTH(Tabla17[[#This Row],[Fecha final]]),Tabla20[#All],4,FALSE)</f>
        <v>0</v>
      </c>
      <c r="K12" s="16">
        <f>Tabla17[[#This Row],[P1 + P4]]*VLOOKUP(MONTH(Tabla17[[#This Row],[Fecha final]]),Tabla20[#All],5,FALSE)</f>
        <v>0</v>
      </c>
      <c r="L12" s="16">
        <f>Tabla17[[#This Row],[P2 + P5]]*VLOOKUP(MONTH(Tabla17[[#This Row],[Fecha final]]),Tabla20[#All],6,FALSE)</f>
        <v>0</v>
      </c>
      <c r="M12" s="16">
        <f>Tabla17[[#This Row],[P3 + P6]]*VLOOKUP(MONTH(Tabla17[[#This Row],[Fecha final]]),Tabla20[#All],7,FALSE)</f>
        <v>0</v>
      </c>
      <c r="N12" s="16">
        <f>YEAR(Tabla17[[#This Row],[Fecha final]])</f>
        <v>2020</v>
      </c>
    </row>
    <row r="13" spans="1:14">
      <c r="A13" s="17">
        <v>44192</v>
      </c>
      <c r="B13" s="16" t="s">
        <v>253</v>
      </c>
      <c r="C13" s="16">
        <v>30</v>
      </c>
      <c r="D13" s="16" t="s">
        <v>42</v>
      </c>
      <c r="E13" s="16">
        <v>533</v>
      </c>
      <c r="F13" s="16">
        <v>692</v>
      </c>
      <c r="G13" s="16">
        <v>0</v>
      </c>
      <c r="H13" s="16">
        <f>Tabla17[[#This Row],[P1 + P4]]*VLOOKUP(MONTH(Tabla17[[#This Row],[Fecha final]]),Tabla20[#All],2,FALSE)</f>
        <v>533</v>
      </c>
      <c r="I13" s="16">
        <f>Tabla17[[#This Row],[P2 + P5]]*VLOOKUP(MONTH(Tabla17[[#This Row],[Fecha final]]),Tabla20[#All],3,FALSE)</f>
        <v>692</v>
      </c>
      <c r="J13" s="16">
        <f>(Tabla17[[#This Row],[P3 + P6]])*VLOOKUP(MONTH(Tabla17[[#This Row],[Fecha final]]),Tabla20[#All],4,FALSE)</f>
        <v>0</v>
      </c>
      <c r="K13" s="16">
        <f>Tabla17[[#This Row],[P1 + P4]]*VLOOKUP(MONTH(Tabla17[[#This Row],[Fecha final]]),Tabla20[#All],5,FALSE)</f>
        <v>0</v>
      </c>
      <c r="L13" s="16">
        <f>Tabla17[[#This Row],[P2 + P5]]*VLOOKUP(MONTH(Tabla17[[#This Row],[Fecha final]]),Tabla20[#All],6,FALSE)</f>
        <v>0</v>
      </c>
      <c r="M13" s="16">
        <f>Tabla17[[#This Row],[P3 + P6]]*VLOOKUP(MONTH(Tabla17[[#This Row],[Fecha final]]),Tabla20[#All],7,FALSE)</f>
        <v>0</v>
      </c>
      <c r="N13" s="16">
        <f>YEAR(Tabla17[[#This Row],[Fecha final]])</f>
        <v>2021</v>
      </c>
    </row>
    <row r="14" spans="1:14">
      <c r="A14" s="17">
        <v>44222</v>
      </c>
      <c r="B14" s="16" t="s">
        <v>252</v>
      </c>
      <c r="C14" s="16">
        <v>29</v>
      </c>
      <c r="D14" s="16" t="s">
        <v>42</v>
      </c>
      <c r="E14" s="16">
        <v>390</v>
      </c>
      <c r="F14" s="16">
        <v>579</v>
      </c>
      <c r="G14" s="16">
        <v>0</v>
      </c>
      <c r="H14" s="16">
        <f>Tabla17[[#This Row],[P1 + P4]]*VLOOKUP(MONTH(Tabla17[[#This Row],[Fecha final]]),Tabla20[#All],2,FALSE)</f>
        <v>390</v>
      </c>
      <c r="I14" s="16">
        <f>Tabla17[[#This Row],[P2 + P5]]*VLOOKUP(MONTH(Tabla17[[#This Row],[Fecha final]]),Tabla20[#All],3,FALSE)</f>
        <v>579</v>
      </c>
      <c r="J14" s="16">
        <f>(Tabla17[[#This Row],[P3 + P6]])*VLOOKUP(MONTH(Tabla17[[#This Row],[Fecha final]]),Tabla20[#All],4,FALSE)</f>
        <v>0</v>
      </c>
      <c r="K14" s="16">
        <f>Tabla17[[#This Row],[P1 + P4]]*VLOOKUP(MONTH(Tabla17[[#This Row],[Fecha final]]),Tabla20[#All],5,FALSE)</f>
        <v>0</v>
      </c>
      <c r="L14" s="16">
        <f>Tabla17[[#This Row],[P2 + P5]]*VLOOKUP(MONTH(Tabla17[[#This Row],[Fecha final]]),Tabla20[#All],6,FALSE)</f>
        <v>0</v>
      </c>
      <c r="M14" s="16">
        <f>Tabla17[[#This Row],[P3 + P6]]*VLOOKUP(MONTH(Tabla17[[#This Row],[Fecha final]]),Tabla20[#All],7,FALSE)</f>
        <v>0</v>
      </c>
      <c r="N14" s="16">
        <f>YEAR(Tabla17[[#This Row],[Fecha final]])</f>
        <v>2021</v>
      </c>
    </row>
    <row r="15" spans="1:14">
      <c r="A15" s="17">
        <v>44251</v>
      </c>
      <c r="B15" s="16" t="s">
        <v>251</v>
      </c>
      <c r="C15" s="16">
        <v>29</v>
      </c>
      <c r="D15" s="16" t="s">
        <v>42</v>
      </c>
      <c r="E15" s="16">
        <v>329</v>
      </c>
      <c r="F15" s="16">
        <v>543</v>
      </c>
      <c r="G15" s="16">
        <v>0</v>
      </c>
      <c r="H15" s="16">
        <f>Tabla17[[#This Row],[P1 + P4]]*VLOOKUP(MONTH(Tabla17[[#This Row],[Fecha final]]),Tabla20[#All],2,FALSE)</f>
        <v>0</v>
      </c>
      <c r="I15" s="16">
        <f>Tabla17[[#This Row],[P2 + P5]]*VLOOKUP(MONTH(Tabla17[[#This Row],[Fecha final]]),Tabla20[#All],3,FALSE)</f>
        <v>543</v>
      </c>
      <c r="J15" s="16">
        <f>(Tabla17[[#This Row],[P3 + P6]])*VLOOKUP(MONTH(Tabla17[[#This Row],[Fecha final]]),Tabla20[#All],4,FALSE)</f>
        <v>0</v>
      </c>
      <c r="K15" s="16">
        <f>Tabla17[[#This Row],[P1 + P4]]*VLOOKUP(MONTH(Tabla17[[#This Row],[Fecha final]]),Tabla20[#All],5,FALSE)</f>
        <v>0</v>
      </c>
      <c r="L15" s="16">
        <f>Tabla17[[#This Row],[P2 + P5]]*VLOOKUP(MONTH(Tabla17[[#This Row],[Fecha final]]),Tabla20[#All],6,FALSE)</f>
        <v>0</v>
      </c>
      <c r="M15" s="16">
        <f>Tabla17[[#This Row],[P3 + P6]]*VLOOKUP(MONTH(Tabla17[[#This Row],[Fecha final]]),Tabla20[#All],7,FALSE)</f>
        <v>0</v>
      </c>
      <c r="N15" s="16">
        <f>YEAR(Tabla17[[#This Row],[Fecha final]])</f>
        <v>2021</v>
      </c>
    </row>
    <row r="16" spans="1:14">
      <c r="A16" s="17">
        <v>44280</v>
      </c>
      <c r="B16" s="16" t="s">
        <v>250</v>
      </c>
      <c r="C16" s="16">
        <v>39</v>
      </c>
      <c r="D16" s="16" t="s">
        <v>42</v>
      </c>
      <c r="E16" s="16">
        <v>207</v>
      </c>
      <c r="F16" s="16">
        <v>597</v>
      </c>
      <c r="G16" s="16">
        <v>0</v>
      </c>
      <c r="H16" s="16">
        <f>Tabla17[[#This Row],[P1 + P4]]*VLOOKUP(MONTH(Tabla17[[#This Row],[Fecha final]]),Tabla20[#All],2,FALSE)</f>
        <v>0</v>
      </c>
      <c r="I16" s="16">
        <f>Tabla17[[#This Row],[P2 + P5]]*VLOOKUP(MONTH(Tabla17[[#This Row],[Fecha final]]),Tabla20[#All],3,FALSE)</f>
        <v>0</v>
      </c>
      <c r="J16" s="16">
        <f>(Tabla17[[#This Row],[P3 + P6]])*VLOOKUP(MONTH(Tabla17[[#This Row],[Fecha final]]),Tabla20[#All],4,FALSE)</f>
        <v>0</v>
      </c>
      <c r="K16" s="16">
        <f>Tabla17[[#This Row],[P1 + P4]]*VLOOKUP(MONTH(Tabla17[[#This Row],[Fecha final]]),Tabla20[#All],5,FALSE)</f>
        <v>207</v>
      </c>
      <c r="L16" s="16">
        <f>Tabla17[[#This Row],[P2 + P5]]*VLOOKUP(MONTH(Tabla17[[#This Row],[Fecha final]]),Tabla20[#All],6,FALSE)</f>
        <v>597</v>
      </c>
      <c r="M16" s="16">
        <f>Tabla17[[#This Row],[P3 + P6]]*VLOOKUP(MONTH(Tabla17[[#This Row],[Fecha final]]),Tabla20[#All],7,FALSE)</f>
        <v>0</v>
      </c>
      <c r="N16" s="16">
        <f>YEAR(Tabla17[[#This Row],[Fecha final]])</f>
        <v>2021</v>
      </c>
    </row>
    <row r="17" spans="1:14">
      <c r="A17" s="17">
        <v>44319</v>
      </c>
      <c r="B17" s="16" t="s">
        <v>51</v>
      </c>
      <c r="C17" s="16">
        <v>28</v>
      </c>
      <c r="D17" s="16" t="s">
        <v>42</v>
      </c>
      <c r="E17" s="16">
        <v>142</v>
      </c>
      <c r="F17" s="16">
        <v>337</v>
      </c>
      <c r="G17" s="16">
        <v>0</v>
      </c>
      <c r="H17" s="16">
        <f>Tabla17[[#This Row],[P1 + P4]]*VLOOKUP(MONTH(Tabla17[[#This Row],[Fecha final]]),Tabla20[#All],2,FALSE)</f>
        <v>0</v>
      </c>
      <c r="I17" s="16">
        <f>Tabla17[[#This Row],[P2 + P5]]*VLOOKUP(MONTH(Tabla17[[#This Row],[Fecha final]]),Tabla20[#All],3,FALSE)</f>
        <v>0</v>
      </c>
      <c r="J17" s="16">
        <f>(Tabla17[[#This Row],[P3 + P6]])*VLOOKUP(MONTH(Tabla17[[#This Row],[Fecha final]]),Tabla20[#All],4,FALSE)</f>
        <v>0</v>
      </c>
      <c r="K17" s="16">
        <f>Tabla17[[#This Row],[P1 + P4]]*VLOOKUP(MONTH(Tabla17[[#This Row],[Fecha final]]),Tabla20[#All],5,FALSE)</f>
        <v>142</v>
      </c>
      <c r="L17" s="16">
        <f>Tabla17[[#This Row],[P2 + P5]]*VLOOKUP(MONTH(Tabla17[[#This Row],[Fecha final]]),Tabla20[#All],6,FALSE)</f>
        <v>337</v>
      </c>
      <c r="M17" s="16">
        <f>Tabla17[[#This Row],[P3 + P6]]*VLOOKUP(MONTH(Tabla17[[#This Row],[Fecha final]]),Tabla20[#All],7,FALSE)</f>
        <v>0</v>
      </c>
      <c r="N17" s="16">
        <f>YEAR(Tabla17[[#This Row],[Fecha final]])</f>
        <v>2021</v>
      </c>
    </row>
    <row r="18" spans="1:14">
      <c r="A18" s="17">
        <v>44347</v>
      </c>
      <c r="B18" s="16" t="s">
        <v>121</v>
      </c>
      <c r="C18" s="16">
        <v>24</v>
      </c>
      <c r="D18" s="16" t="s">
        <v>42</v>
      </c>
      <c r="E18" s="16">
        <v>76</v>
      </c>
      <c r="F18" s="16">
        <v>58</v>
      </c>
      <c r="G18" s="16">
        <v>117</v>
      </c>
      <c r="H18" s="16">
        <f>Tabla17[[#This Row],[P1 + P4]]*VLOOKUP(MONTH(Tabla17[[#This Row],[Fecha final]]),Tabla20[#All],2,FALSE)</f>
        <v>0</v>
      </c>
      <c r="I18" s="16">
        <f>Tabla17[[#This Row],[P2 + P5]]*VLOOKUP(MONTH(Tabla17[[#This Row],[Fecha final]]),Tabla20[#All],3,FALSE)</f>
        <v>0</v>
      </c>
      <c r="J18" s="16">
        <f>(Tabla17[[#This Row],[P3 + P6]])*VLOOKUP(MONTH(Tabla17[[#This Row],[Fecha final]]),Tabla20[#All],4,FALSE)</f>
        <v>40.926600000000001</v>
      </c>
      <c r="K18" s="16">
        <f>Tabla17[[#This Row],[P1 + P4]]*VLOOKUP(MONTH(Tabla17[[#This Row],[Fecha final]]),Tabla20[#All],5,FALSE)</f>
        <v>76</v>
      </c>
      <c r="L18" s="16">
        <f>Tabla17[[#This Row],[P2 + P5]]*VLOOKUP(MONTH(Tabla17[[#This Row],[Fecha final]]),Tabla20[#All],6,FALSE)</f>
        <v>0</v>
      </c>
      <c r="M18" s="16">
        <f>Tabla17[[#This Row],[P3 + P6]]*VLOOKUP(MONTH(Tabla17[[#This Row],[Fecha final]]),Tabla20[#All],7,FALSE)</f>
        <v>76.073400000000007</v>
      </c>
      <c r="N18" s="16">
        <f>YEAR(Tabla17[[#This Row],[Fecha final]])</f>
        <v>2021</v>
      </c>
    </row>
    <row r="19" spans="1:14">
      <c r="A19" s="17">
        <v>44371</v>
      </c>
      <c r="B19" s="16" t="s">
        <v>249</v>
      </c>
      <c r="C19" s="16">
        <v>32</v>
      </c>
      <c r="D19" s="16" t="s">
        <v>42</v>
      </c>
      <c r="E19" s="16">
        <v>90</v>
      </c>
      <c r="F19" s="16">
        <v>74</v>
      </c>
      <c r="G19" s="16">
        <v>166</v>
      </c>
      <c r="H19" s="16">
        <f>Tabla17[[#This Row],[P1 + P4]]*VLOOKUP(MONTH(Tabla17[[#This Row],[Fecha final]]),Tabla20[#All],2,FALSE)</f>
        <v>90</v>
      </c>
      <c r="I19" s="16">
        <f>Tabla17[[#This Row],[P2 + P5]]*VLOOKUP(MONTH(Tabla17[[#This Row],[Fecha final]]),Tabla20[#All],3,FALSE)</f>
        <v>74</v>
      </c>
      <c r="J19" s="16">
        <f>(Tabla17[[#This Row],[P3 + P6]])*VLOOKUP(MONTH(Tabla17[[#This Row],[Fecha final]]),Tabla20[#All],4,FALSE)</f>
        <v>0</v>
      </c>
      <c r="K19" s="16">
        <f>Tabla17[[#This Row],[P1 + P4]]*VLOOKUP(MONTH(Tabla17[[#This Row],[Fecha final]]),Tabla20[#All],5,FALSE)</f>
        <v>0</v>
      </c>
      <c r="L19" s="16">
        <f>Tabla17[[#This Row],[P2 + P5]]*VLOOKUP(MONTH(Tabla17[[#This Row],[Fecha final]]),Tabla20[#All],6,FALSE)</f>
        <v>0</v>
      </c>
      <c r="M19" s="16">
        <f>Tabla17[[#This Row],[P3 + P6]]*VLOOKUP(MONTH(Tabla17[[#This Row],[Fecha final]]),Tabla20[#All],7,FALSE)</f>
        <v>166</v>
      </c>
      <c r="N19" s="16">
        <f>YEAR(Tabla17[[#This Row],[Fecha final]])</f>
        <v>2021</v>
      </c>
    </row>
    <row r="20" spans="1:14">
      <c r="A20" s="17">
        <v>44403</v>
      </c>
      <c r="B20" s="16" t="s">
        <v>248</v>
      </c>
      <c r="C20" s="16">
        <v>29</v>
      </c>
      <c r="D20" s="16" t="s">
        <v>42</v>
      </c>
      <c r="E20" s="16">
        <v>121</v>
      </c>
      <c r="F20" s="16">
        <v>87</v>
      </c>
      <c r="G20" s="16">
        <v>147</v>
      </c>
      <c r="H20" s="16">
        <f>Tabla17[[#This Row],[P1 + P4]]*VLOOKUP(MONTH(Tabla17[[#This Row],[Fecha final]]),Tabla20[#All],2,FALSE)</f>
        <v>0</v>
      </c>
      <c r="I20" s="16">
        <f>Tabla17[[#This Row],[P2 + P5]]*VLOOKUP(MONTH(Tabla17[[#This Row],[Fecha final]]),Tabla20[#All],3,FALSE)</f>
        <v>0</v>
      </c>
      <c r="J20" s="16">
        <f>(Tabla17[[#This Row],[P3 + P6]])*VLOOKUP(MONTH(Tabla17[[#This Row],[Fecha final]]),Tabla20[#All],4,FALSE)</f>
        <v>49.333199999999998</v>
      </c>
      <c r="K20" s="16">
        <f>Tabla17[[#This Row],[P1 + P4]]*VLOOKUP(MONTH(Tabla17[[#This Row],[Fecha final]]),Tabla20[#All],5,FALSE)</f>
        <v>121</v>
      </c>
      <c r="L20" s="16">
        <f>Tabla17[[#This Row],[P2 + P5]]*VLOOKUP(MONTH(Tabla17[[#This Row],[Fecha final]]),Tabla20[#All],6,FALSE)</f>
        <v>0</v>
      </c>
      <c r="M20" s="16">
        <f>Tabla17[[#This Row],[P3 + P6]]*VLOOKUP(MONTH(Tabla17[[#This Row],[Fecha final]]),Tabla20[#All],7,FALSE)</f>
        <v>97.666799999999995</v>
      </c>
      <c r="N20" s="16">
        <f>YEAR(Tabla17[[#This Row],[Fecha final]])</f>
        <v>2021</v>
      </c>
    </row>
    <row r="21" spans="1:14">
      <c r="A21" s="17">
        <v>44432</v>
      </c>
      <c r="B21" s="16" t="s">
        <v>247</v>
      </c>
      <c r="C21" s="16">
        <v>32</v>
      </c>
      <c r="D21" s="16" t="s">
        <v>42</v>
      </c>
      <c r="E21" s="16">
        <v>105</v>
      </c>
      <c r="F21" s="16">
        <v>110</v>
      </c>
      <c r="G21" s="16">
        <v>172</v>
      </c>
      <c r="H21" s="16">
        <f>Tabla17[[#This Row],[P1 + P4]]*VLOOKUP(MONTH(Tabla17[[#This Row],[Fecha final]]),Tabla20[#All],2,FALSE)</f>
        <v>0</v>
      </c>
      <c r="I21" s="16">
        <f>Tabla17[[#This Row],[P2 + P5]]*VLOOKUP(MONTH(Tabla17[[#This Row],[Fecha final]]),Tabla20[#All],3,FALSE)</f>
        <v>0</v>
      </c>
      <c r="J21" s="16">
        <f>(Tabla17[[#This Row],[P3 + P6]])*VLOOKUP(MONTH(Tabla17[[#This Row],[Fecha final]]),Tabla20[#All],4,FALSE)</f>
        <v>60.165599999999998</v>
      </c>
      <c r="K21" s="16">
        <f>Tabla17[[#This Row],[P1 + P4]]*VLOOKUP(MONTH(Tabla17[[#This Row],[Fecha final]]),Tabla20[#All],5,FALSE)</f>
        <v>105</v>
      </c>
      <c r="L21" s="16">
        <f>Tabla17[[#This Row],[P2 + P5]]*VLOOKUP(MONTH(Tabla17[[#This Row],[Fecha final]]),Tabla20[#All],6,FALSE)</f>
        <v>0</v>
      </c>
      <c r="M21" s="16">
        <f>Tabla17[[#This Row],[P3 + P6]]*VLOOKUP(MONTH(Tabla17[[#This Row],[Fecha final]]),Tabla20[#All],7,FALSE)</f>
        <v>111.8344</v>
      </c>
      <c r="N21" s="16">
        <f>YEAR(Tabla17[[#This Row],[Fecha final]])</f>
        <v>2021</v>
      </c>
    </row>
    <row r="22" spans="1:14">
      <c r="A22" s="17">
        <v>44464</v>
      </c>
      <c r="B22" s="16" t="s">
        <v>246</v>
      </c>
      <c r="C22" s="16">
        <v>31</v>
      </c>
      <c r="D22" s="16" t="s">
        <v>42</v>
      </c>
      <c r="E22" s="16">
        <v>176</v>
      </c>
      <c r="F22" s="16">
        <v>122</v>
      </c>
      <c r="G22" s="16">
        <v>171</v>
      </c>
      <c r="H22" s="16">
        <f>Tabla17[[#This Row],[P1 + P4]]*VLOOKUP(MONTH(Tabla17[[#This Row],[Fecha final]]),Tabla20[#All],2,FALSE)</f>
        <v>0</v>
      </c>
      <c r="I22" s="16">
        <f>Tabla17[[#This Row],[P2 + P5]]*VLOOKUP(MONTH(Tabla17[[#This Row],[Fecha final]]),Tabla20[#All],3,FALSE)</f>
        <v>0</v>
      </c>
      <c r="J22" s="16">
        <f>(Tabla17[[#This Row],[P3 + P6]])*VLOOKUP(MONTH(Tabla17[[#This Row],[Fecha final]]),Tabla20[#All],4,FALSE)</f>
        <v>0</v>
      </c>
      <c r="K22" s="16">
        <f>Tabla17[[#This Row],[P1 + P4]]*VLOOKUP(MONTH(Tabla17[[#This Row],[Fecha final]]),Tabla20[#All],5,FALSE)</f>
        <v>176</v>
      </c>
      <c r="L22" s="16">
        <f>Tabla17[[#This Row],[P2 + P5]]*VLOOKUP(MONTH(Tabla17[[#This Row],[Fecha final]]),Tabla20[#All],6,FALSE)</f>
        <v>122</v>
      </c>
      <c r="M22" s="16">
        <f>Tabla17[[#This Row],[P3 + P6]]*VLOOKUP(MONTH(Tabla17[[#This Row],[Fecha final]]),Tabla20[#All],7,FALSE)</f>
        <v>171</v>
      </c>
      <c r="N22" s="16">
        <f>YEAR(Tabla17[[#This Row],[Fecha final]])</f>
        <v>2021</v>
      </c>
    </row>
    <row r="23" spans="1:14">
      <c r="A23" s="17">
        <v>44495</v>
      </c>
      <c r="B23" s="16" t="s">
        <v>245</v>
      </c>
      <c r="C23" s="16">
        <v>29</v>
      </c>
      <c r="D23" s="16" t="s">
        <v>42</v>
      </c>
      <c r="E23" s="16">
        <v>376</v>
      </c>
      <c r="F23" s="16">
        <v>330</v>
      </c>
      <c r="G23" s="16">
        <v>199</v>
      </c>
      <c r="H23" s="16">
        <f>Tabla17[[#This Row],[P1 + P4]]*VLOOKUP(MONTH(Tabla17[[#This Row],[Fecha final]]),Tabla20[#All],2,FALSE)</f>
        <v>0</v>
      </c>
      <c r="I23" s="16">
        <f>Tabla17[[#This Row],[P2 + P5]]*VLOOKUP(MONTH(Tabla17[[#This Row],[Fecha final]]),Tabla20[#All],3,FALSE)</f>
        <v>330</v>
      </c>
      <c r="J23" s="16">
        <f>(Tabla17[[#This Row],[P3 + P6]])*VLOOKUP(MONTH(Tabla17[[#This Row],[Fecha final]]),Tabla20[#All],4,FALSE)</f>
        <v>55.083199999999998</v>
      </c>
      <c r="K23" s="16">
        <f>Tabla17[[#This Row],[P1 + P4]]*VLOOKUP(MONTH(Tabla17[[#This Row],[Fecha final]]),Tabla20[#All],5,FALSE)</f>
        <v>0</v>
      </c>
      <c r="L23" s="16">
        <f>Tabla17[[#This Row],[P2 + P5]]*VLOOKUP(MONTH(Tabla17[[#This Row],[Fecha final]]),Tabla20[#All],6,FALSE)</f>
        <v>0</v>
      </c>
      <c r="M23" s="16">
        <f>Tabla17[[#This Row],[P3 + P6]]*VLOOKUP(MONTH(Tabla17[[#This Row],[Fecha final]]),Tabla20[#All],7,FALSE)</f>
        <v>143.91679999999999</v>
      </c>
      <c r="N23" s="16">
        <f>YEAR(Tabla17[[#This Row],[Fecha final]])</f>
        <v>2021</v>
      </c>
    </row>
    <row r="24" spans="1:14">
      <c r="A24" s="17">
        <v>44524</v>
      </c>
      <c r="B24" s="16" t="s">
        <v>115</v>
      </c>
      <c r="C24" s="16">
        <v>9</v>
      </c>
      <c r="D24" s="16" t="s">
        <v>42</v>
      </c>
      <c r="E24" s="16">
        <v>139</v>
      </c>
      <c r="F24" s="16">
        <v>147</v>
      </c>
      <c r="G24" s="16">
        <v>60</v>
      </c>
      <c r="H24" s="16">
        <f>Tabla17[[#This Row],[P1 + P4]]*VLOOKUP(MONTH(Tabla17[[#This Row],[Fecha final]]),Tabla20[#All],2,FALSE)</f>
        <v>139</v>
      </c>
      <c r="I24" s="16">
        <f>Tabla17[[#This Row],[P2 + P5]]*VLOOKUP(MONTH(Tabla17[[#This Row],[Fecha final]]),Tabla20[#All],3,FALSE)</f>
        <v>147</v>
      </c>
      <c r="J24" s="16">
        <f>(Tabla17[[#This Row],[P3 + P6]])*VLOOKUP(MONTH(Tabla17[[#This Row],[Fecha final]]),Tabla20[#All],4,FALSE)</f>
        <v>0</v>
      </c>
      <c r="K24" s="16">
        <f>Tabla17[[#This Row],[P1 + P4]]*VLOOKUP(MONTH(Tabla17[[#This Row],[Fecha final]]),Tabla20[#All],5,FALSE)</f>
        <v>0</v>
      </c>
      <c r="L24" s="16">
        <f>Tabla17[[#This Row],[P2 + P5]]*VLOOKUP(MONTH(Tabla17[[#This Row],[Fecha final]]),Tabla20[#All],6,FALSE)</f>
        <v>0</v>
      </c>
      <c r="M24" s="16">
        <f>Tabla17[[#This Row],[P3 + P6]]*VLOOKUP(MONTH(Tabla17[[#This Row],[Fecha final]]),Tabla20[#All],7,FALSE)</f>
        <v>60</v>
      </c>
      <c r="N24" s="16">
        <f>YEAR(Tabla17[[#This Row],[Fecha final]])</f>
        <v>2021</v>
      </c>
    </row>
    <row r="25" spans="1:14">
      <c r="A25" s="17">
        <v>44533</v>
      </c>
      <c r="B25" s="16" t="s">
        <v>244</v>
      </c>
      <c r="C25" s="16">
        <v>24</v>
      </c>
      <c r="D25" s="16" t="s">
        <v>42</v>
      </c>
      <c r="E25" s="16">
        <v>217</v>
      </c>
      <c r="F25" s="16">
        <v>235</v>
      </c>
      <c r="G25" s="16">
        <v>169</v>
      </c>
      <c r="H25" s="16">
        <f>Tabla17[[#This Row],[P1 + P4]]*VLOOKUP(MONTH(Tabla17[[#This Row],[Fecha final]]),Tabla20[#All],2,FALSE)</f>
        <v>217</v>
      </c>
      <c r="I25" s="16">
        <f>Tabla17[[#This Row],[P2 + P5]]*VLOOKUP(MONTH(Tabla17[[#This Row],[Fecha final]]),Tabla20[#All],3,FALSE)</f>
        <v>235</v>
      </c>
      <c r="J25" s="16">
        <f>(Tabla17[[#This Row],[P3 + P6]])*VLOOKUP(MONTH(Tabla17[[#This Row],[Fecha final]]),Tabla20[#All],4,FALSE)</f>
        <v>0</v>
      </c>
      <c r="K25" s="16">
        <f>Tabla17[[#This Row],[P1 + P4]]*VLOOKUP(MONTH(Tabla17[[#This Row],[Fecha final]]),Tabla20[#All],5,FALSE)</f>
        <v>0</v>
      </c>
      <c r="L25" s="16">
        <f>Tabla17[[#This Row],[P2 + P5]]*VLOOKUP(MONTH(Tabla17[[#This Row],[Fecha final]]),Tabla20[#All],6,FALSE)</f>
        <v>0</v>
      </c>
      <c r="M25" s="16">
        <f>Tabla17[[#This Row],[P3 + P6]]*VLOOKUP(MONTH(Tabla17[[#This Row],[Fecha final]]),Tabla20[#All],7,FALSE)</f>
        <v>169</v>
      </c>
      <c r="N25" s="16">
        <f>YEAR(Tabla17[[#This Row],[Fecha final]])</f>
        <v>2021</v>
      </c>
    </row>
    <row r="26" spans="1:14">
      <c r="A26" s="17">
        <v>44557</v>
      </c>
      <c r="B26" s="16" t="s">
        <v>113</v>
      </c>
      <c r="C26" s="16">
        <v>17</v>
      </c>
      <c r="D26" s="16" t="s">
        <v>42</v>
      </c>
      <c r="E26" s="16">
        <v>31</v>
      </c>
      <c r="F26" s="16">
        <v>29</v>
      </c>
      <c r="G26" s="16">
        <v>80</v>
      </c>
      <c r="H26" s="16">
        <f>Tabla17[[#This Row],[P1 + P4]]*VLOOKUP(MONTH(Tabla17[[#This Row],[Fecha final]]),Tabla20[#All],2,FALSE)</f>
        <v>31</v>
      </c>
      <c r="I26" s="16">
        <f>Tabla17[[#This Row],[P2 + P5]]*VLOOKUP(MONTH(Tabla17[[#This Row],[Fecha final]]),Tabla20[#All],3,FALSE)</f>
        <v>29</v>
      </c>
      <c r="J26" s="16">
        <f>(Tabla17[[#This Row],[P3 + P6]])*VLOOKUP(MONTH(Tabla17[[#This Row],[Fecha final]]),Tabla20[#All],4,FALSE)</f>
        <v>0</v>
      </c>
      <c r="K26" s="16">
        <f>Tabla17[[#This Row],[P1 + P4]]*VLOOKUP(MONTH(Tabla17[[#This Row],[Fecha final]]),Tabla20[#All],5,FALSE)</f>
        <v>0</v>
      </c>
      <c r="L26" s="16">
        <f>Tabla17[[#This Row],[P2 + P5]]*VLOOKUP(MONTH(Tabla17[[#This Row],[Fecha final]]),Tabla20[#All],6,FALSE)</f>
        <v>0</v>
      </c>
      <c r="M26" s="16">
        <f>Tabla17[[#This Row],[P3 + P6]]*VLOOKUP(MONTH(Tabla17[[#This Row],[Fecha final]]),Tabla20[#All],7,FALSE)</f>
        <v>80</v>
      </c>
      <c r="N26" s="16">
        <f>YEAR(Tabla17[[#This Row],[Fecha final]])</f>
        <v>2022</v>
      </c>
    </row>
    <row r="27" spans="1:14">
      <c r="A27" s="17">
        <v>44574</v>
      </c>
      <c r="B27" s="16" t="s">
        <v>243</v>
      </c>
      <c r="C27" s="16">
        <v>12</v>
      </c>
      <c r="D27" s="16" t="s">
        <v>42</v>
      </c>
      <c r="E27" s="16">
        <v>116</v>
      </c>
      <c r="F27" s="16">
        <v>84</v>
      </c>
      <c r="G27" s="16">
        <v>69</v>
      </c>
      <c r="H27" s="16">
        <f>Tabla17[[#This Row],[P1 + P4]]*VLOOKUP(MONTH(Tabla17[[#This Row],[Fecha final]]),Tabla20[#All],2,FALSE)</f>
        <v>116</v>
      </c>
      <c r="I27" s="16">
        <f>Tabla17[[#This Row],[P2 + P5]]*VLOOKUP(MONTH(Tabla17[[#This Row],[Fecha final]]),Tabla20[#All],3,FALSE)</f>
        <v>84</v>
      </c>
      <c r="J27" s="16">
        <f>(Tabla17[[#This Row],[P3 + P6]])*VLOOKUP(MONTH(Tabla17[[#This Row],[Fecha final]]),Tabla20[#All],4,FALSE)</f>
        <v>0</v>
      </c>
      <c r="K27" s="16">
        <f>Tabla17[[#This Row],[P1 + P4]]*VLOOKUP(MONTH(Tabla17[[#This Row],[Fecha final]]),Tabla20[#All],5,FALSE)</f>
        <v>0</v>
      </c>
      <c r="L27" s="16">
        <f>Tabla17[[#This Row],[P2 + P5]]*VLOOKUP(MONTH(Tabla17[[#This Row],[Fecha final]]),Tabla20[#All],6,FALSE)</f>
        <v>0</v>
      </c>
      <c r="M27" s="16">
        <f>Tabla17[[#This Row],[P3 + P6]]*VLOOKUP(MONTH(Tabla17[[#This Row],[Fecha final]]),Tabla20[#All],7,FALSE)</f>
        <v>69</v>
      </c>
      <c r="N27" s="16">
        <f>YEAR(Tabla17[[#This Row],[Fecha final]])</f>
        <v>2022</v>
      </c>
    </row>
    <row r="28" spans="1:14">
      <c r="A28" s="17">
        <v>44586</v>
      </c>
      <c r="B28" s="16" t="s">
        <v>242</v>
      </c>
      <c r="C28" s="16">
        <v>28</v>
      </c>
      <c r="D28" s="16" t="s">
        <v>42</v>
      </c>
      <c r="E28" s="16">
        <v>410</v>
      </c>
      <c r="F28" s="16">
        <v>314</v>
      </c>
      <c r="G28" s="16">
        <v>212</v>
      </c>
      <c r="H28" s="16">
        <f>Tabla17[[#This Row],[P1 + P4]]*VLOOKUP(MONTH(Tabla17[[#This Row],[Fecha final]]),Tabla20[#All],2,FALSE)</f>
        <v>410</v>
      </c>
      <c r="I28" s="16">
        <f>Tabla17[[#This Row],[P2 + P5]]*VLOOKUP(MONTH(Tabla17[[#This Row],[Fecha final]]),Tabla20[#All],3,FALSE)</f>
        <v>314</v>
      </c>
      <c r="J28" s="16">
        <f>(Tabla17[[#This Row],[P3 + P6]])*VLOOKUP(MONTH(Tabla17[[#This Row],[Fecha final]]),Tabla20[#All],4,FALSE)</f>
        <v>0</v>
      </c>
      <c r="K28" s="16">
        <f>Tabla17[[#This Row],[P1 + P4]]*VLOOKUP(MONTH(Tabla17[[#This Row],[Fecha final]]),Tabla20[#All],5,FALSE)</f>
        <v>0</v>
      </c>
      <c r="L28" s="16">
        <f>Tabla17[[#This Row],[P2 + P5]]*VLOOKUP(MONTH(Tabla17[[#This Row],[Fecha final]]),Tabla20[#All],6,FALSE)</f>
        <v>0</v>
      </c>
      <c r="M28" s="16">
        <f>Tabla17[[#This Row],[P3 + P6]]*VLOOKUP(MONTH(Tabla17[[#This Row],[Fecha final]]),Tabla20[#All],7,FALSE)</f>
        <v>212</v>
      </c>
      <c r="N28" s="16">
        <f>YEAR(Tabla17[[#This Row],[Fecha final]])</f>
        <v>2022</v>
      </c>
    </row>
    <row r="29" spans="1:14">
      <c r="A29" s="17">
        <v>44614</v>
      </c>
      <c r="B29" s="16" t="s">
        <v>241</v>
      </c>
      <c r="C29" s="16">
        <v>32</v>
      </c>
      <c r="D29" s="16" t="s">
        <v>42</v>
      </c>
      <c r="E29" s="16">
        <v>385</v>
      </c>
      <c r="F29" s="16">
        <v>342</v>
      </c>
      <c r="G29" s="16">
        <v>221</v>
      </c>
      <c r="H29" s="16">
        <f>Tabla17[[#This Row],[P1 + P4]]*VLOOKUP(MONTH(Tabla17[[#This Row],[Fecha final]]),Tabla20[#All],2,FALSE)</f>
        <v>0</v>
      </c>
      <c r="I29" s="16">
        <f>Tabla17[[#This Row],[P2 + P5]]*VLOOKUP(MONTH(Tabla17[[#This Row],[Fecha final]]),Tabla20[#All],3,FALSE)</f>
        <v>342</v>
      </c>
      <c r="J29" s="16">
        <f>(Tabla17[[#This Row],[P3 + P6]])*VLOOKUP(MONTH(Tabla17[[#This Row],[Fecha final]]),Tabla20[#All],4,FALSE)</f>
        <v>66.255800000000008</v>
      </c>
      <c r="K29" s="16">
        <f>Tabla17[[#This Row],[P1 + P4]]*VLOOKUP(MONTH(Tabla17[[#This Row],[Fecha final]]),Tabla20[#All],5,FALSE)</f>
        <v>0</v>
      </c>
      <c r="L29" s="16">
        <f>Tabla17[[#This Row],[P2 + P5]]*VLOOKUP(MONTH(Tabla17[[#This Row],[Fecha final]]),Tabla20[#All],6,FALSE)</f>
        <v>0</v>
      </c>
      <c r="M29" s="16">
        <f>Tabla17[[#This Row],[P3 + P6]]*VLOOKUP(MONTH(Tabla17[[#This Row],[Fecha final]]),Tabla20[#All],7,FALSE)</f>
        <v>154.74420000000001</v>
      </c>
      <c r="N29" s="16">
        <f>YEAR(Tabla17[[#This Row],[Fecha final]])</f>
        <v>2022</v>
      </c>
    </row>
    <row r="30" spans="1:14">
      <c r="A30" s="17">
        <v>44646</v>
      </c>
      <c r="B30" s="16" t="s">
        <v>240</v>
      </c>
      <c r="C30" s="16">
        <v>32</v>
      </c>
      <c r="D30" s="16" t="s">
        <v>42</v>
      </c>
      <c r="E30" s="16">
        <v>281</v>
      </c>
      <c r="F30" s="16">
        <v>236</v>
      </c>
      <c r="G30" s="16">
        <v>195</v>
      </c>
      <c r="H30" s="16">
        <f>Tabla17[[#This Row],[P1 + P4]]*VLOOKUP(MONTH(Tabla17[[#This Row],[Fecha final]]),Tabla20[#All],2,FALSE)</f>
        <v>0</v>
      </c>
      <c r="I30" s="16">
        <f>Tabla17[[#This Row],[P2 + P5]]*VLOOKUP(MONTH(Tabla17[[#This Row],[Fecha final]]),Tabla20[#All],3,FALSE)</f>
        <v>0</v>
      </c>
      <c r="J30" s="16">
        <f>(Tabla17[[#This Row],[P3 + P6]])*VLOOKUP(MONTH(Tabla17[[#This Row],[Fecha final]]),Tabla20[#All],4,FALSE)</f>
        <v>0</v>
      </c>
      <c r="K30" s="16">
        <f>Tabla17[[#This Row],[P1 + P4]]*VLOOKUP(MONTH(Tabla17[[#This Row],[Fecha final]]),Tabla20[#All],5,FALSE)</f>
        <v>281</v>
      </c>
      <c r="L30" s="16">
        <f>Tabla17[[#This Row],[P2 + P5]]*VLOOKUP(MONTH(Tabla17[[#This Row],[Fecha final]]),Tabla20[#All],6,FALSE)</f>
        <v>236</v>
      </c>
      <c r="M30" s="16">
        <f>Tabla17[[#This Row],[P3 + P6]]*VLOOKUP(MONTH(Tabla17[[#This Row],[Fecha final]]),Tabla20[#All],7,FALSE)</f>
        <v>195</v>
      </c>
      <c r="N30" s="16">
        <f>YEAR(Tabla17[[#This Row],[Fecha final]])</f>
        <v>2022</v>
      </c>
    </row>
    <row r="31" spans="1:14">
      <c r="A31" s="17">
        <v>44678</v>
      </c>
      <c r="B31" s="16" t="s">
        <v>239</v>
      </c>
      <c r="C31" s="16">
        <v>26</v>
      </c>
      <c r="D31" s="16" t="s">
        <v>42</v>
      </c>
      <c r="E31" s="16">
        <v>100</v>
      </c>
      <c r="F31" s="16">
        <v>93</v>
      </c>
      <c r="G31" s="16">
        <v>152</v>
      </c>
      <c r="H31" s="16">
        <f>Tabla17[[#This Row],[P1 + P4]]*VLOOKUP(MONTH(Tabla17[[#This Row],[Fecha final]]),Tabla20[#All],2,FALSE)</f>
        <v>0</v>
      </c>
      <c r="I31" s="16">
        <f>Tabla17[[#This Row],[P2 + P5]]*VLOOKUP(MONTH(Tabla17[[#This Row],[Fecha final]]),Tabla20[#All],3,FALSE)</f>
        <v>0</v>
      </c>
      <c r="J31" s="16">
        <f>(Tabla17[[#This Row],[P3 + P6]])*VLOOKUP(MONTH(Tabla17[[#This Row],[Fecha final]]),Tabla20[#All],4,FALSE)</f>
        <v>0</v>
      </c>
      <c r="K31" s="16">
        <f>Tabla17[[#This Row],[P1 + P4]]*VLOOKUP(MONTH(Tabla17[[#This Row],[Fecha final]]),Tabla20[#All],5,FALSE)</f>
        <v>100</v>
      </c>
      <c r="L31" s="16">
        <f>Tabla17[[#This Row],[P2 + P5]]*VLOOKUP(MONTH(Tabla17[[#This Row],[Fecha final]]),Tabla20[#All],6,FALSE)</f>
        <v>93</v>
      </c>
      <c r="M31" s="16">
        <f>Tabla17[[#This Row],[P3 + P6]]*VLOOKUP(MONTH(Tabla17[[#This Row],[Fecha final]]),Tabla20[#All],7,FALSE)</f>
        <v>152</v>
      </c>
      <c r="N31" s="16">
        <f>YEAR(Tabla17[[#This Row],[Fecha final]])</f>
        <v>2022</v>
      </c>
    </row>
    <row r="32" spans="1:14">
      <c r="A32" s="17">
        <v>44704</v>
      </c>
      <c r="B32" s="16" t="s">
        <v>238</v>
      </c>
      <c r="C32" s="16">
        <v>34</v>
      </c>
      <c r="D32" s="16" t="s">
        <v>42</v>
      </c>
      <c r="E32" s="16">
        <v>107</v>
      </c>
      <c r="F32" s="16">
        <v>110</v>
      </c>
      <c r="G32" s="16">
        <v>187</v>
      </c>
      <c r="H32" s="16">
        <f>Tabla17[[#This Row],[P1 + P4]]*VLOOKUP(MONTH(Tabla17[[#This Row],[Fecha final]]),Tabla20[#All],2,FALSE)</f>
        <v>0</v>
      </c>
      <c r="I32" s="16">
        <f>Tabla17[[#This Row],[P2 + P5]]*VLOOKUP(MONTH(Tabla17[[#This Row],[Fecha final]]),Tabla20[#All],3,FALSE)</f>
        <v>0</v>
      </c>
      <c r="J32" s="16">
        <f>(Tabla17[[#This Row],[P3 + P6]])*VLOOKUP(MONTH(Tabla17[[#This Row],[Fecha final]]),Tabla20[#All],4,FALSE)</f>
        <v>65.412599999999998</v>
      </c>
      <c r="K32" s="16">
        <f>Tabla17[[#This Row],[P1 + P4]]*VLOOKUP(MONTH(Tabla17[[#This Row],[Fecha final]]),Tabla20[#All],5,FALSE)</f>
        <v>107</v>
      </c>
      <c r="L32" s="16">
        <f>Tabla17[[#This Row],[P2 + P5]]*VLOOKUP(MONTH(Tabla17[[#This Row],[Fecha final]]),Tabla20[#All],6,FALSE)</f>
        <v>0</v>
      </c>
      <c r="M32" s="16">
        <f>Tabla17[[#This Row],[P3 + P6]]*VLOOKUP(MONTH(Tabla17[[#This Row],[Fecha final]]),Tabla20[#All],7,FALSE)</f>
        <v>121.5874</v>
      </c>
      <c r="N32" s="16">
        <f>YEAR(Tabla17[[#This Row],[Fecha final]])</f>
        <v>2022</v>
      </c>
    </row>
    <row r="33" spans="1:14">
      <c r="A33" s="17">
        <v>44738</v>
      </c>
      <c r="B33" s="16" t="s">
        <v>237</v>
      </c>
      <c r="C33" s="16">
        <v>30</v>
      </c>
      <c r="D33" s="16" t="s">
        <v>42</v>
      </c>
      <c r="E33" s="16">
        <v>141</v>
      </c>
      <c r="F33" s="16">
        <v>114</v>
      </c>
      <c r="G33" s="16">
        <v>166</v>
      </c>
      <c r="H33" s="16">
        <f>Tabla17[[#This Row],[P1 + P4]]*VLOOKUP(MONTH(Tabla17[[#This Row],[Fecha final]]),Tabla20[#All],2,FALSE)</f>
        <v>141</v>
      </c>
      <c r="I33" s="16">
        <f>Tabla17[[#This Row],[P2 + P5]]*VLOOKUP(MONTH(Tabla17[[#This Row],[Fecha final]]),Tabla20[#All],3,FALSE)</f>
        <v>114</v>
      </c>
      <c r="J33" s="16">
        <f>(Tabla17[[#This Row],[P3 + P6]])*VLOOKUP(MONTH(Tabla17[[#This Row],[Fecha final]]),Tabla20[#All],4,FALSE)</f>
        <v>0</v>
      </c>
      <c r="K33" s="16">
        <f>Tabla17[[#This Row],[P1 + P4]]*VLOOKUP(MONTH(Tabla17[[#This Row],[Fecha final]]),Tabla20[#All],5,FALSE)</f>
        <v>0</v>
      </c>
      <c r="L33" s="16">
        <f>Tabla17[[#This Row],[P2 + P5]]*VLOOKUP(MONTH(Tabla17[[#This Row],[Fecha final]]),Tabla20[#All],6,FALSE)</f>
        <v>0</v>
      </c>
      <c r="M33" s="16">
        <f>Tabla17[[#This Row],[P3 + P6]]*VLOOKUP(MONTH(Tabla17[[#This Row],[Fecha final]]),Tabla20[#All],7,FALSE)</f>
        <v>166</v>
      </c>
      <c r="N33" s="16">
        <f>YEAR(Tabla17[[#This Row],[Fecha final]])</f>
        <v>2022</v>
      </c>
    </row>
    <row r="34" spans="1:14">
      <c r="A34" s="17">
        <v>44768</v>
      </c>
      <c r="B34" s="16" t="s">
        <v>236</v>
      </c>
      <c r="C34" s="16">
        <v>29</v>
      </c>
      <c r="D34" s="16" t="s">
        <v>42</v>
      </c>
      <c r="E34" s="16">
        <v>145</v>
      </c>
      <c r="F34" s="16">
        <v>92</v>
      </c>
      <c r="G34" s="16">
        <v>148</v>
      </c>
      <c r="H34" s="16">
        <f>Tabla17[[#This Row],[P1 + P4]]*VLOOKUP(MONTH(Tabla17[[#This Row],[Fecha final]]),Tabla20[#All],2,FALSE)</f>
        <v>0</v>
      </c>
      <c r="I34" s="16">
        <f>Tabla17[[#This Row],[P2 + P5]]*VLOOKUP(MONTH(Tabla17[[#This Row],[Fecha final]]),Tabla20[#All],3,FALSE)</f>
        <v>0</v>
      </c>
      <c r="J34" s="16">
        <f>(Tabla17[[#This Row],[P3 + P6]])*VLOOKUP(MONTH(Tabla17[[#This Row],[Fecha final]]),Tabla20[#All],4,FALSE)</f>
        <v>49.668800000000005</v>
      </c>
      <c r="K34" s="16">
        <f>Tabla17[[#This Row],[P1 + P4]]*VLOOKUP(MONTH(Tabla17[[#This Row],[Fecha final]]),Tabla20[#All],5,FALSE)</f>
        <v>145</v>
      </c>
      <c r="L34" s="16">
        <f>Tabla17[[#This Row],[P2 + P5]]*VLOOKUP(MONTH(Tabla17[[#This Row],[Fecha final]]),Tabla20[#All],6,FALSE)</f>
        <v>0</v>
      </c>
      <c r="M34" s="16">
        <f>Tabla17[[#This Row],[P3 + P6]]*VLOOKUP(MONTH(Tabla17[[#This Row],[Fecha final]]),Tabla20[#All],7,FALSE)</f>
        <v>98.331199999999995</v>
      </c>
      <c r="N34" s="16">
        <f>YEAR(Tabla17[[#This Row],[Fecha final]])</f>
        <v>2022</v>
      </c>
    </row>
    <row r="35" spans="1:14">
      <c r="A35" s="17">
        <v>44797</v>
      </c>
      <c r="B35" s="16" t="s">
        <v>235</v>
      </c>
      <c r="C35" s="16">
        <v>33</v>
      </c>
      <c r="D35" s="16" t="s">
        <v>42</v>
      </c>
      <c r="E35" s="16">
        <v>108</v>
      </c>
      <c r="F35" s="16">
        <v>95</v>
      </c>
      <c r="G35" s="16">
        <v>151</v>
      </c>
      <c r="H35" s="16">
        <f>Tabla17[[#This Row],[P1 + P4]]*VLOOKUP(MONTH(Tabla17[[#This Row],[Fecha final]]),Tabla20[#All],2,FALSE)</f>
        <v>0</v>
      </c>
      <c r="I35" s="16">
        <f>Tabla17[[#This Row],[P2 + P5]]*VLOOKUP(MONTH(Tabla17[[#This Row],[Fecha final]]),Tabla20[#All],3,FALSE)</f>
        <v>0</v>
      </c>
      <c r="J35" s="16">
        <f>(Tabla17[[#This Row],[P3 + P6]])*VLOOKUP(MONTH(Tabla17[[#This Row],[Fecha final]]),Tabla20[#All],4,FALSE)</f>
        <v>52.819800000000001</v>
      </c>
      <c r="K35" s="16">
        <f>Tabla17[[#This Row],[P1 + P4]]*VLOOKUP(MONTH(Tabla17[[#This Row],[Fecha final]]),Tabla20[#All],5,FALSE)</f>
        <v>108</v>
      </c>
      <c r="L35" s="16">
        <f>Tabla17[[#This Row],[P2 + P5]]*VLOOKUP(MONTH(Tabla17[[#This Row],[Fecha final]]),Tabla20[#All],6,FALSE)</f>
        <v>0</v>
      </c>
      <c r="M35" s="16">
        <f>Tabla17[[#This Row],[P3 + P6]]*VLOOKUP(MONTH(Tabla17[[#This Row],[Fecha final]]),Tabla20[#All],7,FALSE)</f>
        <v>98.180199999999999</v>
      </c>
      <c r="N35" s="16">
        <f>YEAR(Tabla17[[#This Row],[Fecha final]])</f>
        <v>2022</v>
      </c>
    </row>
    <row r="36" spans="1:14">
      <c r="A36" s="17">
        <v>44830</v>
      </c>
      <c r="B36" s="16" t="s">
        <v>234</v>
      </c>
      <c r="C36" s="16">
        <v>31</v>
      </c>
      <c r="D36" s="16" t="s">
        <v>42</v>
      </c>
      <c r="E36" s="16">
        <v>170</v>
      </c>
      <c r="F36" s="16">
        <v>101</v>
      </c>
      <c r="G36" s="16">
        <v>135</v>
      </c>
      <c r="H36" s="16">
        <f>Tabla17[[#This Row],[P1 + P4]]*VLOOKUP(MONTH(Tabla17[[#This Row],[Fecha final]]),Tabla20[#All],2,FALSE)</f>
        <v>0</v>
      </c>
      <c r="I36" s="16">
        <f>Tabla17[[#This Row],[P2 + P5]]*VLOOKUP(MONTH(Tabla17[[#This Row],[Fecha final]]),Tabla20[#All],3,FALSE)</f>
        <v>0</v>
      </c>
      <c r="J36" s="16">
        <f>(Tabla17[[#This Row],[P3 + P6]])*VLOOKUP(MONTH(Tabla17[[#This Row],[Fecha final]]),Tabla20[#All],4,FALSE)</f>
        <v>0</v>
      </c>
      <c r="K36" s="16">
        <f>Tabla17[[#This Row],[P1 + P4]]*VLOOKUP(MONTH(Tabla17[[#This Row],[Fecha final]]),Tabla20[#All],5,FALSE)</f>
        <v>170</v>
      </c>
      <c r="L36" s="16">
        <f>Tabla17[[#This Row],[P2 + P5]]*VLOOKUP(MONTH(Tabla17[[#This Row],[Fecha final]]),Tabla20[#All],6,FALSE)</f>
        <v>101</v>
      </c>
      <c r="M36" s="16">
        <f>Tabla17[[#This Row],[P3 + P6]]*VLOOKUP(MONTH(Tabla17[[#This Row],[Fecha final]]),Tabla20[#All],7,FALSE)</f>
        <v>135</v>
      </c>
      <c r="N36" s="16">
        <f>YEAR(Tabla17[[#This Row],[Fecha final]])</f>
        <v>2022</v>
      </c>
    </row>
    <row r="37" spans="1:14">
      <c r="A37" s="17">
        <v>44861</v>
      </c>
      <c r="B37" s="16" t="s">
        <v>233</v>
      </c>
      <c r="C37" s="16">
        <v>32</v>
      </c>
      <c r="D37" s="16" t="s">
        <v>42</v>
      </c>
      <c r="E37" s="16">
        <v>2</v>
      </c>
      <c r="F37" s="16">
        <v>1</v>
      </c>
      <c r="G37" s="16">
        <v>3</v>
      </c>
      <c r="H37" s="16">
        <f>Tabla17[[#This Row],[P1 + P4]]*VLOOKUP(MONTH(Tabla17[[#This Row],[Fecha final]]),Tabla20[#All],2,FALSE)</f>
        <v>0</v>
      </c>
      <c r="I37" s="16">
        <f>Tabla17[[#This Row],[P2 + P5]]*VLOOKUP(MONTH(Tabla17[[#This Row],[Fecha final]]),Tabla20[#All],3,FALSE)</f>
        <v>1</v>
      </c>
      <c r="J37" s="16">
        <f>(Tabla17[[#This Row],[P3 + P6]])*VLOOKUP(MONTH(Tabla17[[#This Row],[Fecha final]]),Tabla20[#All],4,FALSE)</f>
        <v>0.83040000000000003</v>
      </c>
      <c r="K37" s="16">
        <f>Tabla17[[#This Row],[P1 + P4]]*VLOOKUP(MONTH(Tabla17[[#This Row],[Fecha final]]),Tabla20[#All],5,FALSE)</f>
        <v>0</v>
      </c>
      <c r="L37" s="16">
        <f>Tabla17[[#This Row],[P2 + P5]]*VLOOKUP(MONTH(Tabla17[[#This Row],[Fecha final]]),Tabla20[#All],6,FALSE)</f>
        <v>0</v>
      </c>
      <c r="M37" s="16">
        <f>Tabla17[[#This Row],[P3 + P6]]*VLOOKUP(MONTH(Tabla17[[#This Row],[Fecha final]]),Tabla20[#All],7,FALSE)</f>
        <v>2.1696</v>
      </c>
      <c r="N37" s="16">
        <f>YEAR(Tabla17[[#This Row],[Fecha final]])</f>
        <v>2022</v>
      </c>
    </row>
    <row r="38" spans="1:14">
      <c r="A38" s="17">
        <v>44893</v>
      </c>
      <c r="B38" s="16" t="s">
        <v>232</v>
      </c>
      <c r="C38" s="16">
        <v>30</v>
      </c>
      <c r="D38" s="16" t="s">
        <v>42</v>
      </c>
      <c r="E38" s="16">
        <v>1</v>
      </c>
      <c r="F38" s="16">
        <v>1</v>
      </c>
      <c r="G38" s="16">
        <v>3</v>
      </c>
      <c r="H38" s="16">
        <f>Tabla17[[#This Row],[P1 + P4]]*VLOOKUP(MONTH(Tabla17[[#This Row],[Fecha final]]),Tabla20[#All],2,FALSE)</f>
        <v>1</v>
      </c>
      <c r="I38" s="16">
        <f>Tabla17[[#This Row],[P2 + P5]]*VLOOKUP(MONTH(Tabla17[[#This Row],[Fecha final]]),Tabla20[#All],3,FALSE)</f>
        <v>1</v>
      </c>
      <c r="J38" s="16">
        <f>(Tabla17[[#This Row],[P3 + P6]])*VLOOKUP(MONTH(Tabla17[[#This Row],[Fecha final]]),Tabla20[#All],4,FALSE)</f>
        <v>0</v>
      </c>
      <c r="K38" s="16">
        <f>Tabla17[[#This Row],[P1 + P4]]*VLOOKUP(MONTH(Tabla17[[#This Row],[Fecha final]]),Tabla20[#All],5,FALSE)</f>
        <v>0</v>
      </c>
      <c r="L38" s="16">
        <f>Tabla17[[#This Row],[P2 + P5]]*VLOOKUP(MONTH(Tabla17[[#This Row],[Fecha final]]),Tabla20[#All],6,FALSE)</f>
        <v>0</v>
      </c>
      <c r="M38" s="16">
        <f>Tabla17[[#This Row],[P3 + P6]]*VLOOKUP(MONTH(Tabla17[[#This Row],[Fecha final]]),Tabla20[#All],7,FALSE)</f>
        <v>3</v>
      </c>
      <c r="N38" s="16">
        <f>YEAR(Tabla17[[#This Row],[Fecha final]])</f>
        <v>2022</v>
      </c>
    </row>
    <row r="39" spans="1:14">
      <c r="A39" s="17">
        <v>44923</v>
      </c>
      <c r="B39" s="16" t="s">
        <v>231</v>
      </c>
      <c r="C39" s="16">
        <v>29</v>
      </c>
      <c r="D39" s="16" t="s">
        <v>42</v>
      </c>
      <c r="E39" s="16">
        <v>2</v>
      </c>
      <c r="F39" s="16">
        <v>1</v>
      </c>
      <c r="G39" s="16">
        <v>3</v>
      </c>
      <c r="H39" s="16">
        <f>Tabla17[[#This Row],[P1 + P4]]*VLOOKUP(MONTH(Tabla17[[#This Row],[Fecha final]]),Tabla20[#All],2,FALSE)</f>
        <v>2</v>
      </c>
      <c r="I39" s="16">
        <f>Tabla17[[#This Row],[P2 + P5]]*VLOOKUP(MONTH(Tabla17[[#This Row],[Fecha final]]),Tabla20[#All],3,FALSE)</f>
        <v>1</v>
      </c>
      <c r="J39" s="16">
        <f>(Tabla17[[#This Row],[P3 + P6]])*VLOOKUP(MONTH(Tabla17[[#This Row],[Fecha final]]),Tabla20[#All],4,FALSE)</f>
        <v>0</v>
      </c>
      <c r="K39" s="16">
        <f>Tabla17[[#This Row],[P1 + P4]]*VLOOKUP(MONTH(Tabla17[[#This Row],[Fecha final]]),Tabla20[#All],5,FALSE)</f>
        <v>0</v>
      </c>
      <c r="L39" s="16">
        <f>Tabla17[[#This Row],[P2 + P5]]*VLOOKUP(MONTH(Tabla17[[#This Row],[Fecha final]]),Tabla20[#All],6,FALSE)</f>
        <v>0</v>
      </c>
      <c r="M39" s="16">
        <f>Tabla17[[#This Row],[P3 + P6]]*VLOOKUP(MONTH(Tabla17[[#This Row],[Fecha final]]),Tabla20[#All],7,FALSE)</f>
        <v>3</v>
      </c>
      <c r="N39" s="16">
        <f>YEAR(Tabla17[[#This Row],[Fecha final]])</f>
        <v>2023</v>
      </c>
    </row>
    <row r="40" spans="1:14">
      <c r="A40" s="17">
        <v>44952</v>
      </c>
      <c r="B40" s="16" t="s">
        <v>230</v>
      </c>
      <c r="C40" s="16">
        <v>31</v>
      </c>
      <c r="D40" s="16" t="s">
        <v>42</v>
      </c>
      <c r="E40" s="16">
        <v>5</v>
      </c>
      <c r="F40" s="16">
        <v>5</v>
      </c>
      <c r="G40" s="16">
        <v>12</v>
      </c>
      <c r="H40" s="16">
        <f>Tabla17[[#This Row],[P1 + P4]]*VLOOKUP(MONTH(Tabla17[[#This Row],[Fecha final]]),Tabla20[#All],2,FALSE)</f>
        <v>5</v>
      </c>
      <c r="I40" s="16">
        <f>Tabla17[[#This Row],[P2 + P5]]*VLOOKUP(MONTH(Tabla17[[#This Row],[Fecha final]]),Tabla20[#All],3,FALSE)</f>
        <v>5</v>
      </c>
      <c r="J40" s="16">
        <f>(Tabla17[[#This Row],[P3 + P6]])*VLOOKUP(MONTH(Tabla17[[#This Row],[Fecha final]]),Tabla20[#All],4,FALSE)</f>
        <v>0</v>
      </c>
      <c r="K40" s="16">
        <f>Tabla17[[#This Row],[P1 + P4]]*VLOOKUP(MONTH(Tabla17[[#This Row],[Fecha final]]),Tabla20[#All],5,FALSE)</f>
        <v>0</v>
      </c>
      <c r="L40" s="16">
        <f>Tabla17[[#This Row],[P2 + P5]]*VLOOKUP(MONTH(Tabla17[[#This Row],[Fecha final]]),Tabla20[#All],6,FALSE)</f>
        <v>0</v>
      </c>
      <c r="M40" s="16">
        <f>Tabla17[[#This Row],[P3 + P6]]*VLOOKUP(MONTH(Tabla17[[#This Row],[Fecha final]]),Tabla20[#All],7,FALSE)</f>
        <v>12</v>
      </c>
      <c r="N40" s="16">
        <f>YEAR(Tabla17[[#This Row],[Fecha final]])</f>
        <v>2023</v>
      </c>
    </row>
    <row r="41" spans="1:14">
      <c r="A41" s="17">
        <v>44983</v>
      </c>
      <c r="B41" s="16" t="s">
        <v>229</v>
      </c>
      <c r="C41" s="16">
        <v>29</v>
      </c>
      <c r="D41" s="16" t="s">
        <v>42</v>
      </c>
      <c r="E41" s="16">
        <v>10</v>
      </c>
      <c r="F41" s="16">
        <v>6</v>
      </c>
      <c r="G41" s="16">
        <v>5</v>
      </c>
      <c r="H41" s="16">
        <f>Tabla17[[#This Row],[P1 + P4]]*VLOOKUP(MONTH(Tabla17[[#This Row],[Fecha final]]),Tabla20[#All],2,FALSE)</f>
        <v>0</v>
      </c>
      <c r="I41" s="16">
        <f>Tabla17[[#This Row],[P2 + P5]]*VLOOKUP(MONTH(Tabla17[[#This Row],[Fecha final]]),Tabla20[#All],3,FALSE)</f>
        <v>6</v>
      </c>
      <c r="J41" s="16">
        <f>(Tabla17[[#This Row],[P3 + P6]])*VLOOKUP(MONTH(Tabla17[[#This Row],[Fecha final]]),Tabla20[#All],4,FALSE)</f>
        <v>1.4990000000000001</v>
      </c>
      <c r="K41" s="16">
        <f>Tabla17[[#This Row],[P1 + P4]]*VLOOKUP(MONTH(Tabla17[[#This Row],[Fecha final]]),Tabla20[#All],5,FALSE)</f>
        <v>0</v>
      </c>
      <c r="L41" s="16">
        <f>Tabla17[[#This Row],[P2 + P5]]*VLOOKUP(MONTH(Tabla17[[#This Row],[Fecha final]]),Tabla20[#All],6,FALSE)</f>
        <v>0</v>
      </c>
      <c r="M41" s="16">
        <f>Tabla17[[#This Row],[P3 + P6]]*VLOOKUP(MONTH(Tabla17[[#This Row],[Fecha final]]),Tabla20[#All],7,FALSE)</f>
        <v>3.5010000000000003</v>
      </c>
      <c r="N41" s="16">
        <f>YEAR(Tabla17[[#This Row],[Fecha final]])</f>
        <v>2023</v>
      </c>
    </row>
    <row r="42" spans="1:14">
      <c r="A42" s="17">
        <v>45012</v>
      </c>
      <c r="B42" s="16" t="s">
        <v>227</v>
      </c>
      <c r="C42" s="16">
        <v>15</v>
      </c>
      <c r="D42" s="16" t="s">
        <v>42</v>
      </c>
      <c r="E42" s="16">
        <v>10</v>
      </c>
      <c r="F42" s="16">
        <v>3</v>
      </c>
      <c r="G42" s="16">
        <v>3</v>
      </c>
      <c r="H42" s="16">
        <f>Tabla17[[#This Row],[P1 + P4]]*VLOOKUP(MONTH(Tabla17[[#This Row],[Fecha final]]),Tabla20[#All],2,FALSE)</f>
        <v>0</v>
      </c>
      <c r="I42" s="16">
        <f>Tabla17[[#This Row],[P2 + P5]]*VLOOKUP(MONTH(Tabla17[[#This Row],[Fecha final]]),Tabla20[#All],3,FALSE)</f>
        <v>0</v>
      </c>
      <c r="J42" s="16">
        <f>(Tabla17[[#This Row],[P3 + P6]])*VLOOKUP(MONTH(Tabla17[[#This Row],[Fecha final]]),Tabla20[#All],4,FALSE)</f>
        <v>0</v>
      </c>
      <c r="K42" s="16">
        <f>Tabla17[[#This Row],[P1 + P4]]*VLOOKUP(MONTH(Tabla17[[#This Row],[Fecha final]]),Tabla20[#All],5,FALSE)</f>
        <v>10</v>
      </c>
      <c r="L42" s="16">
        <f>Tabla17[[#This Row],[P2 + P5]]*VLOOKUP(MONTH(Tabla17[[#This Row],[Fecha final]]),Tabla20[#All],6,FALSE)</f>
        <v>3</v>
      </c>
      <c r="M42" s="16">
        <f>Tabla17[[#This Row],[P3 + P6]]*VLOOKUP(MONTH(Tabla17[[#This Row],[Fecha final]]),Tabla20[#All],7,FALSE)</f>
        <v>3</v>
      </c>
      <c r="N42" s="16">
        <f>YEAR(Tabla17[[#This Row],[Fecha final]])</f>
        <v>2023</v>
      </c>
    </row>
    <row r="43" spans="1:14">
      <c r="A43" s="17">
        <v>45027</v>
      </c>
      <c r="B43" s="16" t="s">
        <v>228</v>
      </c>
      <c r="C43" s="16">
        <v>15</v>
      </c>
      <c r="D43" s="16" t="s">
        <v>42</v>
      </c>
      <c r="E43" s="16">
        <v>61</v>
      </c>
      <c r="F43" s="16">
        <v>22</v>
      </c>
      <c r="G43" s="16">
        <v>13</v>
      </c>
      <c r="H43" s="16">
        <f>Tabla17[[#This Row],[P1 + P4]]*VLOOKUP(MONTH(Tabla17[[#This Row],[Fecha final]]),Tabla20[#All],2,FALSE)</f>
        <v>0</v>
      </c>
      <c r="I43" s="16">
        <f>Tabla17[[#This Row],[P2 + P5]]*VLOOKUP(MONTH(Tabla17[[#This Row],[Fecha final]]),Tabla20[#All],3,FALSE)</f>
        <v>0</v>
      </c>
      <c r="J43" s="16">
        <f>(Tabla17[[#This Row],[P3 + P6]])*VLOOKUP(MONTH(Tabla17[[#This Row],[Fecha final]]),Tabla20[#All],4,FALSE)</f>
        <v>0</v>
      </c>
      <c r="K43" s="16">
        <f>Tabla17[[#This Row],[P1 + P4]]*VLOOKUP(MONTH(Tabla17[[#This Row],[Fecha final]]),Tabla20[#All],5,FALSE)</f>
        <v>61</v>
      </c>
      <c r="L43" s="16">
        <f>Tabla17[[#This Row],[P2 + P5]]*VLOOKUP(MONTH(Tabla17[[#This Row],[Fecha final]]),Tabla20[#All],6,FALSE)</f>
        <v>22</v>
      </c>
      <c r="M43" s="16">
        <f>Tabla17[[#This Row],[P3 + P6]]*VLOOKUP(MONTH(Tabla17[[#This Row],[Fecha final]]),Tabla20[#All],7,FALSE)</f>
        <v>13</v>
      </c>
      <c r="N43" s="16">
        <f>YEAR(Tabla17[[#This Row],[Fecha final]])</f>
        <v>2023</v>
      </c>
    </row>
    <row r="46" spans="1:14">
      <c r="A46" s="16" t="s">
        <v>77</v>
      </c>
    </row>
    <row r="48" spans="1:14">
      <c r="A48" s="16" t="s">
        <v>37</v>
      </c>
      <c r="B48" s="16" t="s">
        <v>38</v>
      </c>
      <c r="C48" s="16" t="s">
        <v>39</v>
      </c>
      <c r="D48" s="16" t="s">
        <v>40</v>
      </c>
      <c r="E48" s="16" t="s">
        <v>32</v>
      </c>
      <c r="F48" s="16" t="s">
        <v>33</v>
      </c>
      <c r="G48" s="16" t="s">
        <v>34</v>
      </c>
    </row>
    <row r="49" spans="1:7">
      <c r="A49" s="16" t="s">
        <v>227</v>
      </c>
      <c r="B49" s="16" t="s">
        <v>228</v>
      </c>
      <c r="C49" s="16">
        <v>15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229</v>
      </c>
      <c r="B50" s="16" t="s">
        <v>227</v>
      </c>
      <c r="C50" s="16">
        <v>15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230</v>
      </c>
      <c r="B51" s="16" t="s">
        <v>229</v>
      </c>
      <c r="C51" s="16">
        <v>29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231</v>
      </c>
      <c r="B52" s="16" t="s">
        <v>230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232</v>
      </c>
      <c r="B53" s="16" t="s">
        <v>231</v>
      </c>
      <c r="C53" s="16">
        <v>29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233</v>
      </c>
      <c r="B54" s="16" t="s">
        <v>232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234</v>
      </c>
      <c r="B55" s="16" t="s">
        <v>233</v>
      </c>
      <c r="C55" s="16">
        <v>32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235</v>
      </c>
      <c r="B56" s="16" t="s">
        <v>234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236</v>
      </c>
      <c r="B57" s="16" t="s">
        <v>235</v>
      </c>
      <c r="C57" s="16">
        <v>33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237</v>
      </c>
      <c r="B58" s="16" t="s">
        <v>236</v>
      </c>
      <c r="C58" s="16">
        <v>29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238</v>
      </c>
      <c r="B59" s="16" t="s">
        <v>237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239</v>
      </c>
      <c r="B60" s="16" t="s">
        <v>238</v>
      </c>
      <c r="C60" s="16">
        <v>34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240</v>
      </c>
      <c r="B61" s="16" t="s">
        <v>239</v>
      </c>
      <c r="C61" s="16">
        <v>26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241</v>
      </c>
      <c r="B62" s="16" t="s">
        <v>240</v>
      </c>
      <c r="C62" s="16">
        <v>32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242</v>
      </c>
      <c r="B63" s="16" t="s">
        <v>241</v>
      </c>
      <c r="C63" s="16">
        <v>32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243</v>
      </c>
      <c r="B64" s="16" t="s">
        <v>242</v>
      </c>
      <c r="C64" s="16">
        <v>28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113</v>
      </c>
      <c r="B65" s="16" t="s">
        <v>243</v>
      </c>
      <c r="C65" s="16">
        <v>12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244</v>
      </c>
      <c r="B66" s="16" t="s">
        <v>113</v>
      </c>
      <c r="C66" s="16">
        <v>17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115</v>
      </c>
      <c r="B67" s="16" t="s">
        <v>244</v>
      </c>
      <c r="C67" s="16">
        <v>24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245</v>
      </c>
      <c r="B68" s="16" t="s">
        <v>115</v>
      </c>
      <c r="C68" s="16">
        <v>9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246</v>
      </c>
      <c r="B69" s="16" t="s">
        <v>245</v>
      </c>
      <c r="C69" s="16">
        <v>29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247</v>
      </c>
      <c r="B70" s="16" t="s">
        <v>246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248</v>
      </c>
      <c r="B71" s="16" t="s">
        <v>247</v>
      </c>
      <c r="C71" s="16">
        <v>32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249</v>
      </c>
      <c r="B72" s="16" t="s">
        <v>248</v>
      </c>
      <c r="C72" s="16">
        <v>29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121</v>
      </c>
      <c r="B73" s="16" t="s">
        <v>249</v>
      </c>
      <c r="C73" s="16">
        <v>32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51</v>
      </c>
      <c r="B74" s="16" t="s">
        <v>121</v>
      </c>
      <c r="C74" s="16">
        <v>24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250</v>
      </c>
      <c r="B75" s="16" t="s">
        <v>51</v>
      </c>
      <c r="C75" s="16">
        <v>28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251</v>
      </c>
      <c r="B76" s="16" t="s">
        <v>250</v>
      </c>
      <c r="C76" s="16">
        <v>39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252</v>
      </c>
      <c r="B77" s="16" t="s">
        <v>251</v>
      </c>
      <c r="C77" s="16">
        <v>29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253</v>
      </c>
      <c r="B78" s="16" t="s">
        <v>252</v>
      </c>
      <c r="C78" s="16">
        <v>29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127</v>
      </c>
      <c r="B79" s="16" t="s">
        <v>253</v>
      </c>
      <c r="C79" s="16">
        <v>30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254</v>
      </c>
      <c r="B80" s="16" t="s">
        <v>127</v>
      </c>
      <c r="C80" s="16">
        <v>32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129</v>
      </c>
      <c r="B81" s="16" t="s">
        <v>254</v>
      </c>
      <c r="C81" s="16">
        <v>30</v>
      </c>
      <c r="D81" s="16" t="s">
        <v>42</v>
      </c>
      <c r="E81" s="16">
        <v>0</v>
      </c>
      <c r="F81" s="16">
        <v>0</v>
      </c>
      <c r="G81" s="16">
        <v>0</v>
      </c>
    </row>
    <row r="82" spans="1:7">
      <c r="A82" s="16" t="s">
        <v>130</v>
      </c>
      <c r="B82" s="16" t="s">
        <v>129</v>
      </c>
      <c r="C82" s="16">
        <v>32</v>
      </c>
      <c r="D82" s="16" t="s">
        <v>42</v>
      </c>
      <c r="E82" s="16">
        <v>0</v>
      </c>
      <c r="F82" s="16">
        <v>0</v>
      </c>
      <c r="G82" s="16">
        <v>0</v>
      </c>
    </row>
    <row r="83" spans="1:7">
      <c r="A83" s="16" t="s">
        <v>255</v>
      </c>
      <c r="B83" s="16" t="s">
        <v>130</v>
      </c>
      <c r="C83" s="16">
        <v>29</v>
      </c>
      <c r="D83" s="16" t="s">
        <v>42</v>
      </c>
      <c r="E83" s="16">
        <v>0</v>
      </c>
      <c r="F83" s="16">
        <v>0</v>
      </c>
      <c r="G83" s="16">
        <v>0</v>
      </c>
    </row>
    <row r="84" spans="1:7">
      <c r="A84" s="16" t="s">
        <v>256</v>
      </c>
      <c r="B84" s="16" t="s">
        <v>255</v>
      </c>
      <c r="C84" s="16">
        <v>31</v>
      </c>
      <c r="D84" s="16" t="s">
        <v>42</v>
      </c>
      <c r="E84" s="16">
        <v>0</v>
      </c>
      <c r="F84" s="16">
        <v>0</v>
      </c>
      <c r="G84" s="16">
        <v>0</v>
      </c>
    </row>
    <row r="85" spans="1:7">
      <c r="A85" s="16" t="s">
        <v>257</v>
      </c>
      <c r="B85" s="16" t="s">
        <v>256</v>
      </c>
      <c r="C85" s="16">
        <v>32</v>
      </c>
      <c r="D85" s="16" t="s">
        <v>42</v>
      </c>
      <c r="E85" s="16">
        <v>0</v>
      </c>
      <c r="F85" s="16">
        <v>0</v>
      </c>
      <c r="G85" s="16">
        <v>0</v>
      </c>
    </row>
    <row r="88" spans="1:7">
      <c r="A88" s="16" t="s">
        <v>79</v>
      </c>
    </row>
    <row r="90" spans="1:7">
      <c r="A90" s="16" t="s">
        <v>80</v>
      </c>
      <c r="B90" s="16" t="s">
        <v>81</v>
      </c>
      <c r="C90" s="16" t="s">
        <v>82</v>
      </c>
      <c r="D90" s="16" t="s">
        <v>83</v>
      </c>
    </row>
    <row r="91" spans="1:7">
      <c r="A91" s="16" t="s">
        <v>84</v>
      </c>
      <c r="B91" s="16">
        <v>8.5</v>
      </c>
      <c r="C91" s="16">
        <v>8.5</v>
      </c>
      <c r="D91" s="16">
        <v>0</v>
      </c>
    </row>
    <row r="92" spans="1:7">
      <c r="A92" s="16" t="s">
        <v>37</v>
      </c>
      <c r="B92" s="16" t="s">
        <v>38</v>
      </c>
      <c r="C92" s="16" t="s">
        <v>39</v>
      </c>
      <c r="D92" s="16" t="s">
        <v>40</v>
      </c>
      <c r="E92" s="16" t="s">
        <v>81</v>
      </c>
      <c r="F92" s="16" t="s">
        <v>82</v>
      </c>
      <c r="G92" s="16" t="s">
        <v>83</v>
      </c>
    </row>
    <row r="93" spans="1:7">
      <c r="A93" s="16" t="s">
        <v>227</v>
      </c>
      <c r="B93" s="16" t="s">
        <v>228</v>
      </c>
      <c r="C93" s="16">
        <v>15</v>
      </c>
      <c r="D93" s="16" t="s">
        <v>42</v>
      </c>
      <c r="E93" s="16">
        <v>0</v>
      </c>
      <c r="F93" s="16">
        <v>5.2679999999999998</v>
      </c>
      <c r="G93" s="16">
        <v>0</v>
      </c>
    </row>
    <row r="94" spans="1:7">
      <c r="A94" s="16" t="s">
        <v>229</v>
      </c>
      <c r="B94" s="16" t="s">
        <v>227</v>
      </c>
      <c r="C94" s="16">
        <v>15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230</v>
      </c>
      <c r="B95" s="16" t="s">
        <v>229</v>
      </c>
      <c r="C95" s="16">
        <v>29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231</v>
      </c>
      <c r="B96" s="16" t="s">
        <v>230</v>
      </c>
      <c r="C96" s="16">
        <v>31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232</v>
      </c>
      <c r="B97" s="16" t="s">
        <v>231</v>
      </c>
      <c r="C97" s="16">
        <v>29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233</v>
      </c>
      <c r="B98" s="16" t="s">
        <v>232</v>
      </c>
      <c r="C98" s="16">
        <v>30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234</v>
      </c>
      <c r="B99" s="16" t="s">
        <v>233</v>
      </c>
      <c r="C99" s="16">
        <v>32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235</v>
      </c>
      <c r="B100" s="16" t="s">
        <v>234</v>
      </c>
      <c r="C100" s="16">
        <v>31</v>
      </c>
      <c r="D100" s="16" t="s">
        <v>42</v>
      </c>
      <c r="E100" s="16">
        <v>6.0759999999999996</v>
      </c>
      <c r="F100" s="16">
        <v>6.016</v>
      </c>
      <c r="G100" s="16">
        <v>2.472</v>
      </c>
    </row>
    <row r="101" spans="1:7">
      <c r="A101" s="16" t="s">
        <v>236</v>
      </c>
      <c r="B101" s="16" t="s">
        <v>235</v>
      </c>
      <c r="C101" s="16">
        <v>33</v>
      </c>
      <c r="D101" s="16" t="s">
        <v>42</v>
      </c>
      <c r="E101" s="16">
        <v>0</v>
      </c>
      <c r="F101" s="16">
        <v>0</v>
      </c>
      <c r="G101" s="16">
        <v>2.62</v>
      </c>
    </row>
    <row r="102" spans="1:7">
      <c r="A102" s="16" t="s">
        <v>237</v>
      </c>
      <c r="B102" s="16" t="s">
        <v>236</v>
      </c>
      <c r="C102" s="16">
        <v>29</v>
      </c>
      <c r="D102" s="16" t="s">
        <v>42</v>
      </c>
      <c r="E102" s="16">
        <v>5.6280000000000001</v>
      </c>
      <c r="F102" s="16">
        <v>5.5519999999999996</v>
      </c>
      <c r="G102" s="16">
        <v>2.6360000000000001</v>
      </c>
    </row>
    <row r="103" spans="1:7">
      <c r="A103" s="16" t="s">
        <v>238</v>
      </c>
      <c r="B103" s="16" t="s">
        <v>237</v>
      </c>
      <c r="C103" s="16">
        <v>30</v>
      </c>
      <c r="D103" s="16" t="s">
        <v>42</v>
      </c>
      <c r="E103" s="16">
        <v>5.4480000000000004</v>
      </c>
      <c r="F103" s="16">
        <v>5.2320000000000002</v>
      </c>
      <c r="G103" s="16">
        <v>2.492</v>
      </c>
    </row>
    <row r="104" spans="1:7">
      <c r="A104" s="16" t="s">
        <v>239</v>
      </c>
      <c r="B104" s="16" t="s">
        <v>238</v>
      </c>
      <c r="C104" s="16">
        <v>34</v>
      </c>
      <c r="D104" s="16" t="s">
        <v>42</v>
      </c>
      <c r="E104" s="16">
        <v>4.78</v>
      </c>
      <c r="F104" s="16">
        <v>5.4409999999999998</v>
      </c>
      <c r="G104" s="16">
        <v>0</v>
      </c>
    </row>
    <row r="105" spans="1:7">
      <c r="A105" s="16" t="s">
        <v>240</v>
      </c>
      <c r="B105" s="16" t="s">
        <v>239</v>
      </c>
      <c r="C105" s="16">
        <v>26</v>
      </c>
      <c r="D105" s="16" t="s">
        <v>42</v>
      </c>
      <c r="E105" s="16">
        <v>5.0199999999999996</v>
      </c>
      <c r="F105" s="16">
        <v>0</v>
      </c>
      <c r="G105" s="16">
        <v>2.8050000000000002</v>
      </c>
    </row>
    <row r="106" spans="1:7">
      <c r="A106" s="16" t="s">
        <v>241</v>
      </c>
      <c r="B106" s="16" t="s">
        <v>240</v>
      </c>
      <c r="C106" s="16">
        <v>32</v>
      </c>
      <c r="D106" s="16" t="s">
        <v>42</v>
      </c>
      <c r="E106" s="16">
        <v>5.8390000000000004</v>
      </c>
      <c r="F106" s="16">
        <v>5.87</v>
      </c>
      <c r="G106" s="16">
        <v>3.2919999999999998</v>
      </c>
    </row>
    <row r="107" spans="1:7">
      <c r="A107" s="16" t="s">
        <v>242</v>
      </c>
      <c r="B107" s="16" t="s">
        <v>241</v>
      </c>
      <c r="C107" s="16">
        <v>32</v>
      </c>
      <c r="D107" s="16" t="s">
        <v>42</v>
      </c>
      <c r="E107" s="16">
        <v>5.8940000000000001</v>
      </c>
      <c r="F107" s="16">
        <v>6.43</v>
      </c>
      <c r="G107" s="16">
        <v>4.5030000000000001</v>
      </c>
    </row>
    <row r="108" spans="1:7">
      <c r="A108" s="16" t="s">
        <v>243</v>
      </c>
      <c r="B108" s="16" t="s">
        <v>242</v>
      </c>
      <c r="C108" s="16">
        <v>28</v>
      </c>
      <c r="D108" s="16" t="s">
        <v>42</v>
      </c>
      <c r="E108" s="16">
        <v>9.1080000000000005</v>
      </c>
      <c r="F108" s="16">
        <v>6.8879999999999999</v>
      </c>
      <c r="G108" s="16">
        <v>7.02</v>
      </c>
    </row>
    <row r="109" spans="1:7">
      <c r="A109" s="16" t="s">
        <v>113</v>
      </c>
      <c r="B109" s="16" t="s">
        <v>243</v>
      </c>
      <c r="C109" s="16">
        <v>12</v>
      </c>
      <c r="D109" s="16" t="s">
        <v>42</v>
      </c>
      <c r="E109" s="16">
        <v>6.5439999999999996</v>
      </c>
      <c r="F109" s="16">
        <v>6.452</v>
      </c>
      <c r="G109" s="16">
        <v>0</v>
      </c>
    </row>
    <row r="110" spans="1:7">
      <c r="A110" s="16" t="s">
        <v>244</v>
      </c>
      <c r="B110" s="16" t="s">
        <v>113</v>
      </c>
      <c r="C110" s="16">
        <v>17</v>
      </c>
      <c r="D110" s="16" t="s">
        <v>42</v>
      </c>
      <c r="E110" s="16">
        <v>0</v>
      </c>
      <c r="F110" s="16">
        <v>0</v>
      </c>
      <c r="G110" s="16">
        <v>0</v>
      </c>
    </row>
    <row r="111" spans="1:7">
      <c r="A111" s="16" t="s">
        <v>115</v>
      </c>
      <c r="B111" s="16" t="s">
        <v>244</v>
      </c>
      <c r="C111" s="16">
        <v>24</v>
      </c>
      <c r="D111" s="16" t="s">
        <v>42</v>
      </c>
      <c r="E111" s="16">
        <v>5.7910000000000004</v>
      </c>
      <c r="F111" s="16">
        <v>6.1749999999999998</v>
      </c>
      <c r="G111" s="16">
        <v>3.6190000000000002</v>
      </c>
    </row>
    <row r="112" spans="1:7">
      <c r="A112" s="16" t="s">
        <v>245</v>
      </c>
      <c r="B112" s="16" t="s">
        <v>115</v>
      </c>
      <c r="C112" s="16">
        <v>9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246</v>
      </c>
      <c r="B113" s="16" t="s">
        <v>245</v>
      </c>
      <c r="C113" s="16">
        <v>29</v>
      </c>
      <c r="D113" s="16" t="s">
        <v>42</v>
      </c>
      <c r="E113" s="16">
        <v>7.9119999999999999</v>
      </c>
      <c r="F113" s="16">
        <v>8.2639999999999993</v>
      </c>
      <c r="G113" s="16">
        <v>6.1479999999999997</v>
      </c>
    </row>
    <row r="114" spans="1:7">
      <c r="A114" s="16" t="s">
        <v>247</v>
      </c>
      <c r="B114" s="16" t="s">
        <v>246</v>
      </c>
      <c r="C114" s="16">
        <v>31</v>
      </c>
      <c r="D114" s="16" t="s">
        <v>42</v>
      </c>
      <c r="E114" s="16">
        <v>0</v>
      </c>
      <c r="F114" s="16">
        <v>2.2799999999999998</v>
      </c>
      <c r="G114" s="16">
        <v>0</v>
      </c>
    </row>
    <row r="115" spans="1:7">
      <c r="A115" s="16" t="s">
        <v>248</v>
      </c>
      <c r="B115" s="16" t="s">
        <v>247</v>
      </c>
      <c r="C115" s="16">
        <v>32</v>
      </c>
      <c r="D115" s="16" t="s">
        <v>42</v>
      </c>
      <c r="E115" s="16">
        <v>2.3519999999999999</v>
      </c>
      <c r="F115" s="16">
        <v>0</v>
      </c>
      <c r="G115" s="16">
        <v>3.6</v>
      </c>
    </row>
    <row r="116" spans="1:7">
      <c r="A116" s="16" t="s">
        <v>249</v>
      </c>
      <c r="B116" s="16" t="s">
        <v>248</v>
      </c>
      <c r="C116" s="16">
        <v>29</v>
      </c>
      <c r="D116" s="16" t="s">
        <v>42</v>
      </c>
      <c r="E116" s="16">
        <v>4</v>
      </c>
      <c r="F116" s="16">
        <v>2.7440000000000002</v>
      </c>
      <c r="G116" s="16">
        <v>2.44</v>
      </c>
    </row>
    <row r="117" spans="1:7">
      <c r="A117" s="16" t="s">
        <v>121</v>
      </c>
      <c r="B117" s="16" t="s">
        <v>249</v>
      </c>
      <c r="C117" s="16">
        <v>32</v>
      </c>
      <c r="D117" s="16" t="s">
        <v>42</v>
      </c>
      <c r="E117" s="16">
        <v>2.2280000000000002</v>
      </c>
      <c r="F117" s="16">
        <v>1.248</v>
      </c>
      <c r="G117" s="16">
        <v>2.3639999999999999</v>
      </c>
    </row>
    <row r="118" spans="1:7">
      <c r="A118" s="16" t="s">
        <v>51</v>
      </c>
      <c r="B118" s="16" t="s">
        <v>121</v>
      </c>
      <c r="C118" s="16">
        <v>24</v>
      </c>
      <c r="D118" s="16" t="s">
        <v>42</v>
      </c>
      <c r="E118" s="16">
        <v>5.2919999999999998</v>
      </c>
      <c r="F118" s="16">
        <v>5.46</v>
      </c>
      <c r="G118" s="16">
        <v>0</v>
      </c>
    </row>
    <row r="119" spans="1:7">
      <c r="A119" s="16" t="s">
        <v>250</v>
      </c>
      <c r="B119" s="16" t="s">
        <v>51</v>
      </c>
      <c r="C119" s="16">
        <v>28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251</v>
      </c>
      <c r="B120" s="16" t="s">
        <v>250</v>
      </c>
      <c r="C120" s="16">
        <v>39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252</v>
      </c>
      <c r="B121" s="16" t="s">
        <v>251</v>
      </c>
      <c r="C121" s="16">
        <v>29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253</v>
      </c>
      <c r="B122" s="16" t="s">
        <v>252</v>
      </c>
      <c r="C122" s="16">
        <v>29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127</v>
      </c>
      <c r="B123" s="16" t="s">
        <v>253</v>
      </c>
      <c r="C123" s="16">
        <v>30</v>
      </c>
      <c r="D123" s="16" t="s">
        <v>42</v>
      </c>
      <c r="E123" s="16">
        <v>0</v>
      </c>
      <c r="F123" s="16">
        <v>0</v>
      </c>
      <c r="G123" s="16">
        <v>0</v>
      </c>
    </row>
    <row r="124" spans="1:7">
      <c r="A124" s="16" t="s">
        <v>254</v>
      </c>
      <c r="B124" s="16" t="s">
        <v>127</v>
      </c>
      <c r="C124" s="16">
        <v>32</v>
      </c>
      <c r="D124" s="16" t="s">
        <v>42</v>
      </c>
      <c r="E124" s="16">
        <v>0</v>
      </c>
      <c r="F124" s="16">
        <v>0</v>
      </c>
      <c r="G124" s="16">
        <v>0</v>
      </c>
    </row>
    <row r="125" spans="1:7">
      <c r="A125" s="16" t="s">
        <v>129</v>
      </c>
      <c r="B125" s="16" t="s">
        <v>254</v>
      </c>
      <c r="C125" s="16">
        <v>30</v>
      </c>
      <c r="D125" s="16" t="s">
        <v>42</v>
      </c>
      <c r="E125" s="16">
        <v>0</v>
      </c>
      <c r="F125" s="16">
        <v>0</v>
      </c>
      <c r="G125" s="16">
        <v>0</v>
      </c>
    </row>
    <row r="126" spans="1:7">
      <c r="A126" s="16" t="s">
        <v>130</v>
      </c>
      <c r="B126" s="16" t="s">
        <v>129</v>
      </c>
      <c r="C126" s="16">
        <v>32</v>
      </c>
      <c r="D126" s="16" t="s">
        <v>42</v>
      </c>
      <c r="E126" s="16">
        <v>0</v>
      </c>
      <c r="F126" s="16">
        <v>0</v>
      </c>
      <c r="G126" s="16">
        <v>0</v>
      </c>
    </row>
    <row r="127" spans="1:7">
      <c r="A127" s="16" t="s">
        <v>255</v>
      </c>
      <c r="B127" s="16" t="s">
        <v>130</v>
      </c>
      <c r="C127" s="16">
        <v>29</v>
      </c>
      <c r="D127" s="16" t="s">
        <v>42</v>
      </c>
      <c r="E127" s="16">
        <v>0</v>
      </c>
      <c r="F127" s="16">
        <v>0</v>
      </c>
      <c r="G127" s="16">
        <v>0</v>
      </c>
    </row>
    <row r="128" spans="1:7">
      <c r="A128" s="16" t="s">
        <v>256</v>
      </c>
      <c r="B128" s="16" t="s">
        <v>255</v>
      </c>
      <c r="C128" s="16">
        <v>31</v>
      </c>
      <c r="D128" s="16" t="s">
        <v>42</v>
      </c>
      <c r="E128" s="16">
        <v>0</v>
      </c>
      <c r="F128" s="16">
        <v>0</v>
      </c>
      <c r="G128" s="16">
        <v>0</v>
      </c>
    </row>
    <row r="129" spans="1:7">
      <c r="A129" s="16" t="s">
        <v>257</v>
      </c>
      <c r="B129" s="16" t="s">
        <v>256</v>
      </c>
      <c r="C129" s="16">
        <v>32</v>
      </c>
      <c r="D129" s="16" t="s">
        <v>42</v>
      </c>
      <c r="E129" s="16">
        <v>0</v>
      </c>
      <c r="F129" s="16">
        <v>0</v>
      </c>
      <c r="G129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42ED-F2D7-4B7A-BABD-00E7AF65E1E1}">
  <dimension ref="A1:N120"/>
  <sheetViews>
    <sheetView workbookViewId="0">
      <selection activeCell="H7" sqref="H7:N7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258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7670</v>
      </c>
      <c r="C4" s="16">
        <v>5024</v>
      </c>
      <c r="D4" s="16">
        <v>6242</v>
      </c>
    </row>
    <row r="5" spans="1:14">
      <c r="A5" s="16" t="s">
        <v>36</v>
      </c>
      <c r="B5" s="16">
        <v>40</v>
      </c>
      <c r="C5" s="16">
        <v>26</v>
      </c>
      <c r="D5" s="16">
        <v>33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6" t="s">
        <v>88</v>
      </c>
      <c r="C7" s="16">
        <v>31</v>
      </c>
      <c r="D7" s="16" t="s">
        <v>42</v>
      </c>
      <c r="E7" s="16">
        <v>431</v>
      </c>
      <c r="F7" s="16">
        <v>523</v>
      </c>
      <c r="G7" s="16">
        <v>150</v>
      </c>
      <c r="H7" s="16">
        <f>Tabla18[[#This Row],[P1 + P4]]*VLOOKUP(MONTH(Tabla18[[#This Row],[Fecha final]]),Tabla20[#All],2,FALSE)</f>
        <v>431</v>
      </c>
      <c r="I7" s="16">
        <f>Tabla18[[#This Row],[P2 + P5]]*VLOOKUP(MONTH(Tabla18[[#This Row],[Fecha final]]),Tabla20[#All],3,FALSE)</f>
        <v>523</v>
      </c>
      <c r="J7" s="16">
        <f>(Tabla18[[#This Row],[P3 + P6]])*VLOOKUP(MONTH(Tabla18[[#This Row],[Fecha final]]),Tabla20[#All],4,FALSE)</f>
        <v>0</v>
      </c>
      <c r="K7" s="16">
        <f>Tabla18[[#This Row],[P1 + P4]]*VLOOKUP(MONTH(Tabla18[[#This Row],[Fecha final]]),Tabla20[#All],5,FALSE)</f>
        <v>0</v>
      </c>
      <c r="L7" s="16">
        <f>Tabla18[[#This Row],[P2 + P5]]*VLOOKUP(MONTH(Tabla18[[#This Row],[Fecha final]]),Tabla20[#All],6,FALSE)</f>
        <v>0</v>
      </c>
      <c r="M7" s="16">
        <f>Tabla18[[#This Row],[P3 + P6]]*VLOOKUP(MONTH(Tabla18[[#This Row],[Fecha final]]),Tabla20[#All],7,FALSE)</f>
        <v>150</v>
      </c>
      <c r="N7" s="16">
        <f>YEAR(Tabla18[[#This Row],[Fecha final]])</f>
        <v>2020</v>
      </c>
    </row>
    <row r="8" spans="1:14">
      <c r="A8" s="17">
        <v>44043</v>
      </c>
      <c r="B8" s="16" t="s">
        <v>78</v>
      </c>
      <c r="C8" s="16">
        <v>31</v>
      </c>
      <c r="D8" s="16" t="s">
        <v>42</v>
      </c>
      <c r="E8" s="16">
        <v>359</v>
      </c>
      <c r="F8" s="16">
        <v>427</v>
      </c>
      <c r="G8" s="16">
        <v>138</v>
      </c>
      <c r="H8" s="16">
        <f>Tabla18[[#This Row],[P1 + P4]]*VLOOKUP(MONTH(Tabla18[[#This Row],[Fecha final]]),Tabla20[#All],2,FALSE)</f>
        <v>0</v>
      </c>
      <c r="I8" s="16">
        <f>Tabla18[[#This Row],[P2 + P5]]*VLOOKUP(MONTH(Tabla18[[#This Row],[Fecha final]]),Tabla20[#All],3,FALSE)</f>
        <v>0</v>
      </c>
      <c r="J8" s="16">
        <f>(Tabla18[[#This Row],[P3 + P6]])*VLOOKUP(MONTH(Tabla18[[#This Row],[Fecha final]]),Tabla20[#All],4,FALSE)</f>
        <v>46.312800000000003</v>
      </c>
      <c r="K8" s="16">
        <f>Tabla18[[#This Row],[P1 + P4]]*VLOOKUP(MONTH(Tabla18[[#This Row],[Fecha final]]),Tabla20[#All],5,FALSE)</f>
        <v>359</v>
      </c>
      <c r="L8" s="16">
        <f>Tabla18[[#This Row],[P2 + P5]]*VLOOKUP(MONTH(Tabla18[[#This Row],[Fecha final]]),Tabla20[#All],6,FALSE)</f>
        <v>0</v>
      </c>
      <c r="M8" s="16">
        <f>Tabla18[[#This Row],[P3 + P6]]*VLOOKUP(MONTH(Tabla18[[#This Row],[Fecha final]]),Tabla20[#All],7,FALSE)</f>
        <v>91.687200000000004</v>
      </c>
      <c r="N8" s="16">
        <f>YEAR(Tabla18[[#This Row],[Fecha final]])</f>
        <v>2020</v>
      </c>
    </row>
    <row r="9" spans="1:14">
      <c r="A9" s="17">
        <v>44074</v>
      </c>
      <c r="B9" s="16" t="s">
        <v>41</v>
      </c>
      <c r="C9" s="16">
        <v>30</v>
      </c>
      <c r="D9" s="16" t="s">
        <v>42</v>
      </c>
      <c r="E9" s="16">
        <v>213</v>
      </c>
      <c r="F9" s="16">
        <v>356</v>
      </c>
      <c r="G9" s="16">
        <v>139</v>
      </c>
      <c r="H9" s="16">
        <f>Tabla18[[#This Row],[P1 + P4]]*VLOOKUP(MONTH(Tabla18[[#This Row],[Fecha final]]),Tabla20[#All],2,FALSE)</f>
        <v>0</v>
      </c>
      <c r="I9" s="16">
        <f>Tabla18[[#This Row],[P2 + P5]]*VLOOKUP(MONTH(Tabla18[[#This Row],[Fecha final]]),Tabla20[#All],3,FALSE)</f>
        <v>0</v>
      </c>
      <c r="J9" s="16">
        <f>(Tabla18[[#This Row],[P3 + P6]])*VLOOKUP(MONTH(Tabla18[[#This Row],[Fecha final]]),Tabla20[#All],4,FALSE)</f>
        <v>48.622199999999999</v>
      </c>
      <c r="K9" s="16">
        <f>Tabla18[[#This Row],[P1 + P4]]*VLOOKUP(MONTH(Tabla18[[#This Row],[Fecha final]]),Tabla20[#All],5,FALSE)</f>
        <v>213</v>
      </c>
      <c r="L9" s="16">
        <f>Tabla18[[#This Row],[P2 + P5]]*VLOOKUP(MONTH(Tabla18[[#This Row],[Fecha final]]),Tabla20[#All],6,FALSE)</f>
        <v>0</v>
      </c>
      <c r="M9" s="16">
        <f>Tabla18[[#This Row],[P3 + P6]]*VLOOKUP(MONTH(Tabla18[[#This Row],[Fecha final]]),Tabla20[#All],7,FALSE)</f>
        <v>90.377799999999993</v>
      </c>
      <c r="N9" s="16">
        <f>YEAR(Tabla18[[#This Row],[Fecha final]])</f>
        <v>2020</v>
      </c>
    </row>
    <row r="10" spans="1:14">
      <c r="A10" s="17">
        <v>44104</v>
      </c>
      <c r="B10" s="16" t="s">
        <v>43</v>
      </c>
      <c r="C10" s="16">
        <v>31</v>
      </c>
      <c r="D10" s="16" t="s">
        <v>42</v>
      </c>
      <c r="E10" s="16">
        <v>323</v>
      </c>
      <c r="F10" s="16">
        <v>678</v>
      </c>
      <c r="G10" s="16">
        <v>154</v>
      </c>
      <c r="H10" s="16">
        <f>Tabla18[[#This Row],[P1 + P4]]*VLOOKUP(MONTH(Tabla18[[#This Row],[Fecha final]]),Tabla20[#All],2,FALSE)</f>
        <v>0</v>
      </c>
      <c r="I10" s="16">
        <f>Tabla18[[#This Row],[P2 + P5]]*VLOOKUP(MONTH(Tabla18[[#This Row],[Fecha final]]),Tabla20[#All],3,FALSE)</f>
        <v>0</v>
      </c>
      <c r="J10" s="16">
        <f>(Tabla18[[#This Row],[P3 + P6]])*VLOOKUP(MONTH(Tabla18[[#This Row],[Fecha final]]),Tabla20[#All],4,FALSE)</f>
        <v>0</v>
      </c>
      <c r="K10" s="16">
        <f>Tabla18[[#This Row],[P1 + P4]]*VLOOKUP(MONTH(Tabla18[[#This Row],[Fecha final]]),Tabla20[#All],5,FALSE)</f>
        <v>323</v>
      </c>
      <c r="L10" s="16">
        <f>Tabla18[[#This Row],[P2 + P5]]*VLOOKUP(MONTH(Tabla18[[#This Row],[Fecha final]]),Tabla20[#All],6,FALSE)</f>
        <v>678</v>
      </c>
      <c r="M10" s="16">
        <f>Tabla18[[#This Row],[P3 + P6]]*VLOOKUP(MONTH(Tabla18[[#This Row],[Fecha final]]),Tabla20[#All],7,FALSE)</f>
        <v>154</v>
      </c>
      <c r="N10" s="16">
        <f>YEAR(Tabla18[[#This Row],[Fecha final]])</f>
        <v>2020</v>
      </c>
    </row>
    <row r="11" spans="1:14">
      <c r="A11" s="17">
        <v>44135</v>
      </c>
      <c r="B11" s="16" t="s">
        <v>44</v>
      </c>
      <c r="C11" s="16">
        <v>30</v>
      </c>
      <c r="D11" s="16" t="s">
        <v>42</v>
      </c>
      <c r="E11" s="16">
        <v>59</v>
      </c>
      <c r="F11" s="16">
        <v>943</v>
      </c>
      <c r="G11" s="16">
        <v>120</v>
      </c>
      <c r="H11" s="16">
        <f>Tabla18[[#This Row],[P1 + P4]]*VLOOKUP(MONTH(Tabla18[[#This Row],[Fecha final]]),Tabla20[#All],2,FALSE)</f>
        <v>0</v>
      </c>
      <c r="I11" s="16">
        <f>Tabla18[[#This Row],[P2 + P5]]*VLOOKUP(MONTH(Tabla18[[#This Row],[Fecha final]]),Tabla20[#All],3,FALSE)</f>
        <v>943</v>
      </c>
      <c r="J11" s="16">
        <f>(Tabla18[[#This Row],[P3 + P6]])*VLOOKUP(MONTH(Tabla18[[#This Row],[Fecha final]]),Tabla20[#All],4,FALSE)</f>
        <v>33.216000000000001</v>
      </c>
      <c r="K11" s="16">
        <f>Tabla18[[#This Row],[P1 + P4]]*VLOOKUP(MONTH(Tabla18[[#This Row],[Fecha final]]),Tabla20[#All],5,FALSE)</f>
        <v>0</v>
      </c>
      <c r="L11" s="16">
        <f>Tabla18[[#This Row],[P2 + P5]]*VLOOKUP(MONTH(Tabla18[[#This Row],[Fecha final]]),Tabla20[#All],6,FALSE)</f>
        <v>0</v>
      </c>
      <c r="M11" s="16">
        <f>Tabla18[[#This Row],[P3 + P6]]*VLOOKUP(MONTH(Tabla18[[#This Row],[Fecha final]]),Tabla20[#All],7,FALSE)</f>
        <v>86.783999999999992</v>
      </c>
      <c r="N11" s="16">
        <f>YEAR(Tabla18[[#This Row],[Fecha final]])</f>
        <v>2020</v>
      </c>
    </row>
    <row r="12" spans="1:14">
      <c r="A12" s="17">
        <v>44165</v>
      </c>
      <c r="B12" s="16" t="s">
        <v>45</v>
      </c>
      <c r="C12" s="16">
        <v>31</v>
      </c>
      <c r="D12" s="16" t="s">
        <v>42</v>
      </c>
      <c r="E12" s="16">
        <v>151</v>
      </c>
      <c r="F12" s="16">
        <v>1853</v>
      </c>
      <c r="G12" s="16">
        <v>311</v>
      </c>
      <c r="H12" s="16">
        <f>Tabla18[[#This Row],[P1 + P4]]*VLOOKUP(MONTH(Tabla18[[#This Row],[Fecha final]]),Tabla20[#All],2,FALSE)</f>
        <v>151</v>
      </c>
      <c r="I12" s="16">
        <f>Tabla18[[#This Row],[P2 + P5]]*VLOOKUP(MONTH(Tabla18[[#This Row],[Fecha final]]),Tabla20[#All],3,FALSE)</f>
        <v>1853</v>
      </c>
      <c r="J12" s="16">
        <f>(Tabla18[[#This Row],[P3 + P6]])*VLOOKUP(MONTH(Tabla18[[#This Row],[Fecha final]]),Tabla20[#All],4,FALSE)</f>
        <v>0</v>
      </c>
      <c r="K12" s="16">
        <f>Tabla18[[#This Row],[P1 + P4]]*VLOOKUP(MONTH(Tabla18[[#This Row],[Fecha final]]),Tabla20[#All],5,FALSE)</f>
        <v>0</v>
      </c>
      <c r="L12" s="16">
        <f>Tabla18[[#This Row],[P2 + P5]]*VLOOKUP(MONTH(Tabla18[[#This Row],[Fecha final]]),Tabla20[#All],6,FALSE)</f>
        <v>0</v>
      </c>
      <c r="M12" s="16">
        <f>Tabla18[[#This Row],[P3 + P6]]*VLOOKUP(MONTH(Tabla18[[#This Row],[Fecha final]]),Tabla20[#All],7,FALSE)</f>
        <v>311</v>
      </c>
      <c r="N12" s="16">
        <f>YEAR(Tabla18[[#This Row],[Fecha final]])</f>
        <v>2020</v>
      </c>
    </row>
    <row r="13" spans="1:14">
      <c r="A13" s="17">
        <v>44196</v>
      </c>
      <c r="B13" s="16" t="s">
        <v>46</v>
      </c>
      <c r="C13" s="16">
        <v>31</v>
      </c>
      <c r="D13" s="16" t="s">
        <v>42</v>
      </c>
      <c r="E13" s="16">
        <v>68</v>
      </c>
      <c r="F13" s="16">
        <v>1388</v>
      </c>
      <c r="G13" s="16">
        <v>139</v>
      </c>
      <c r="H13" s="16">
        <f>Tabla18[[#This Row],[P1 + P4]]*VLOOKUP(MONTH(Tabla18[[#This Row],[Fecha final]]),Tabla20[#All],2,FALSE)</f>
        <v>68</v>
      </c>
      <c r="I13" s="16">
        <f>Tabla18[[#This Row],[P2 + P5]]*VLOOKUP(MONTH(Tabla18[[#This Row],[Fecha final]]),Tabla20[#All],3,FALSE)</f>
        <v>1388</v>
      </c>
      <c r="J13" s="16">
        <f>(Tabla18[[#This Row],[P3 + P6]])*VLOOKUP(MONTH(Tabla18[[#This Row],[Fecha final]]),Tabla20[#All],4,FALSE)</f>
        <v>0</v>
      </c>
      <c r="K13" s="16">
        <f>Tabla18[[#This Row],[P1 + P4]]*VLOOKUP(MONTH(Tabla18[[#This Row],[Fecha final]]),Tabla20[#All],5,FALSE)</f>
        <v>0</v>
      </c>
      <c r="L13" s="16">
        <f>Tabla18[[#This Row],[P2 + P5]]*VLOOKUP(MONTH(Tabla18[[#This Row],[Fecha final]]),Tabla20[#All],6,FALSE)</f>
        <v>0</v>
      </c>
      <c r="M13" s="16">
        <f>Tabla18[[#This Row],[P3 + P6]]*VLOOKUP(MONTH(Tabla18[[#This Row],[Fecha final]]),Tabla20[#All],7,FALSE)</f>
        <v>139</v>
      </c>
      <c r="N13" s="16">
        <f>YEAR(Tabla18[[#This Row],[Fecha final]])</f>
        <v>2021</v>
      </c>
    </row>
    <row r="14" spans="1:14">
      <c r="A14" s="17">
        <v>44227</v>
      </c>
      <c r="B14" s="16" t="s">
        <v>47</v>
      </c>
      <c r="C14" s="16">
        <v>28</v>
      </c>
      <c r="D14" s="16" t="s">
        <v>42</v>
      </c>
      <c r="E14" s="16">
        <v>104</v>
      </c>
      <c r="F14" s="16">
        <v>1625</v>
      </c>
      <c r="G14" s="16">
        <v>193</v>
      </c>
      <c r="H14" s="16">
        <f>Tabla18[[#This Row],[P1 + P4]]*VLOOKUP(MONTH(Tabla18[[#This Row],[Fecha final]]),Tabla20[#All],2,FALSE)</f>
        <v>104</v>
      </c>
      <c r="I14" s="16">
        <f>Tabla18[[#This Row],[P2 + P5]]*VLOOKUP(MONTH(Tabla18[[#This Row],[Fecha final]]),Tabla20[#All],3,FALSE)</f>
        <v>1625</v>
      </c>
      <c r="J14" s="16">
        <f>(Tabla18[[#This Row],[P3 + P6]])*VLOOKUP(MONTH(Tabla18[[#This Row],[Fecha final]]),Tabla20[#All],4,FALSE)</f>
        <v>0</v>
      </c>
      <c r="K14" s="16">
        <f>Tabla18[[#This Row],[P1 + P4]]*VLOOKUP(MONTH(Tabla18[[#This Row],[Fecha final]]),Tabla20[#All],5,FALSE)</f>
        <v>0</v>
      </c>
      <c r="L14" s="16">
        <f>Tabla18[[#This Row],[P2 + P5]]*VLOOKUP(MONTH(Tabla18[[#This Row],[Fecha final]]),Tabla20[#All],6,FALSE)</f>
        <v>0</v>
      </c>
      <c r="M14" s="16">
        <f>Tabla18[[#This Row],[P3 + P6]]*VLOOKUP(MONTH(Tabla18[[#This Row],[Fecha final]]),Tabla20[#All],7,FALSE)</f>
        <v>193</v>
      </c>
      <c r="N14" s="16">
        <f>YEAR(Tabla18[[#This Row],[Fecha final]])</f>
        <v>2021</v>
      </c>
    </row>
    <row r="15" spans="1:14">
      <c r="A15" s="17">
        <v>44255</v>
      </c>
      <c r="B15" s="16" t="s">
        <v>48</v>
      </c>
      <c r="C15" s="16">
        <v>31</v>
      </c>
      <c r="D15" s="16" t="s">
        <v>42</v>
      </c>
      <c r="E15" s="16">
        <v>134</v>
      </c>
      <c r="F15" s="16">
        <v>1526</v>
      </c>
      <c r="G15" s="16">
        <v>217</v>
      </c>
      <c r="H15" s="16">
        <f>Tabla18[[#This Row],[P1 + P4]]*VLOOKUP(MONTH(Tabla18[[#This Row],[Fecha final]]),Tabla20[#All],2,FALSE)</f>
        <v>0</v>
      </c>
      <c r="I15" s="16">
        <f>Tabla18[[#This Row],[P2 + P5]]*VLOOKUP(MONTH(Tabla18[[#This Row],[Fecha final]]),Tabla20[#All],3,FALSE)</f>
        <v>1526</v>
      </c>
      <c r="J15" s="16">
        <f>(Tabla18[[#This Row],[P3 + P6]])*VLOOKUP(MONTH(Tabla18[[#This Row],[Fecha final]]),Tabla20[#All],4,FALSE)</f>
        <v>65.056600000000003</v>
      </c>
      <c r="K15" s="16">
        <f>Tabla18[[#This Row],[P1 + P4]]*VLOOKUP(MONTH(Tabla18[[#This Row],[Fecha final]]),Tabla20[#All],5,FALSE)</f>
        <v>0</v>
      </c>
      <c r="L15" s="16">
        <f>Tabla18[[#This Row],[P2 + P5]]*VLOOKUP(MONTH(Tabla18[[#This Row],[Fecha final]]),Tabla20[#All],6,FALSE)</f>
        <v>0</v>
      </c>
      <c r="M15" s="16">
        <f>Tabla18[[#This Row],[P3 + P6]]*VLOOKUP(MONTH(Tabla18[[#This Row],[Fecha final]]),Tabla20[#All],7,FALSE)</f>
        <v>151.9434</v>
      </c>
      <c r="N15" s="16">
        <f>YEAR(Tabla18[[#This Row],[Fecha final]])</f>
        <v>2021</v>
      </c>
    </row>
    <row r="16" spans="1:14">
      <c r="A16" s="17">
        <v>44286</v>
      </c>
      <c r="B16" s="16" t="s">
        <v>50</v>
      </c>
      <c r="C16" s="16">
        <v>30</v>
      </c>
      <c r="D16" s="16" t="s">
        <v>42</v>
      </c>
      <c r="E16" s="16">
        <v>588</v>
      </c>
      <c r="F16" s="16">
        <v>800</v>
      </c>
      <c r="G16" s="16">
        <v>149</v>
      </c>
      <c r="H16" s="16">
        <f>Tabla18[[#This Row],[P1 + P4]]*VLOOKUP(MONTH(Tabla18[[#This Row],[Fecha final]]),Tabla20[#All],2,FALSE)</f>
        <v>0</v>
      </c>
      <c r="I16" s="16">
        <f>Tabla18[[#This Row],[P2 + P5]]*VLOOKUP(MONTH(Tabla18[[#This Row],[Fecha final]]),Tabla20[#All],3,FALSE)</f>
        <v>0</v>
      </c>
      <c r="J16" s="16">
        <f>(Tabla18[[#This Row],[P3 + P6]])*VLOOKUP(MONTH(Tabla18[[#This Row],[Fecha final]]),Tabla20[#All],4,FALSE)</f>
        <v>0</v>
      </c>
      <c r="K16" s="16">
        <f>Tabla18[[#This Row],[P1 + P4]]*VLOOKUP(MONTH(Tabla18[[#This Row],[Fecha final]]),Tabla20[#All],5,FALSE)</f>
        <v>588</v>
      </c>
      <c r="L16" s="16">
        <f>Tabla18[[#This Row],[P2 + P5]]*VLOOKUP(MONTH(Tabla18[[#This Row],[Fecha final]]),Tabla20[#All],6,FALSE)</f>
        <v>800</v>
      </c>
      <c r="M16" s="16">
        <f>Tabla18[[#This Row],[P3 + P6]]*VLOOKUP(MONTH(Tabla18[[#This Row],[Fecha final]]),Tabla20[#All],7,FALSE)</f>
        <v>149</v>
      </c>
      <c r="N16" s="16">
        <f>YEAR(Tabla18[[#This Row],[Fecha final]])</f>
        <v>2021</v>
      </c>
    </row>
    <row r="17" spans="1:14">
      <c r="A17" s="17">
        <v>44316</v>
      </c>
      <c r="B17" s="16" t="s">
        <v>51</v>
      </c>
      <c r="C17" s="16">
        <v>31</v>
      </c>
      <c r="D17" s="16" t="s">
        <v>42</v>
      </c>
      <c r="E17" s="16">
        <v>453</v>
      </c>
      <c r="F17" s="16">
        <v>629</v>
      </c>
      <c r="G17" s="16">
        <v>153</v>
      </c>
      <c r="H17" s="16">
        <f>Tabla18[[#This Row],[P1 + P4]]*VLOOKUP(MONTH(Tabla18[[#This Row],[Fecha final]]),Tabla20[#All],2,FALSE)</f>
        <v>0</v>
      </c>
      <c r="I17" s="16">
        <f>Tabla18[[#This Row],[P2 + P5]]*VLOOKUP(MONTH(Tabla18[[#This Row],[Fecha final]]),Tabla20[#All],3,FALSE)</f>
        <v>0</v>
      </c>
      <c r="J17" s="16">
        <f>(Tabla18[[#This Row],[P3 + P6]])*VLOOKUP(MONTH(Tabla18[[#This Row],[Fecha final]]),Tabla20[#All],4,FALSE)</f>
        <v>0</v>
      </c>
      <c r="K17" s="16">
        <f>Tabla18[[#This Row],[P1 + P4]]*VLOOKUP(MONTH(Tabla18[[#This Row],[Fecha final]]),Tabla20[#All],5,FALSE)</f>
        <v>453</v>
      </c>
      <c r="L17" s="16">
        <f>Tabla18[[#This Row],[P2 + P5]]*VLOOKUP(MONTH(Tabla18[[#This Row],[Fecha final]]),Tabla20[#All],6,FALSE)</f>
        <v>629</v>
      </c>
      <c r="M17" s="16">
        <f>Tabla18[[#This Row],[P3 + P6]]*VLOOKUP(MONTH(Tabla18[[#This Row],[Fecha final]]),Tabla20[#All],7,FALSE)</f>
        <v>153</v>
      </c>
      <c r="N17" s="16">
        <f>YEAR(Tabla18[[#This Row],[Fecha final]])</f>
        <v>2021</v>
      </c>
    </row>
    <row r="18" spans="1:14">
      <c r="A18" s="17">
        <v>44347</v>
      </c>
      <c r="B18" s="16" t="s">
        <v>52</v>
      </c>
      <c r="C18" s="16">
        <v>30</v>
      </c>
      <c r="D18" s="16" t="s">
        <v>42</v>
      </c>
      <c r="E18" s="16">
        <v>161</v>
      </c>
      <c r="F18" s="16">
        <v>0</v>
      </c>
      <c r="G18" s="16">
        <v>598</v>
      </c>
      <c r="H18" s="16">
        <f>Tabla18[[#This Row],[P1 + P4]]*VLOOKUP(MONTH(Tabla18[[#This Row],[Fecha final]]),Tabla20[#All],2,FALSE)</f>
        <v>0</v>
      </c>
      <c r="I18" s="16">
        <f>Tabla18[[#This Row],[P2 + P5]]*VLOOKUP(MONTH(Tabla18[[#This Row],[Fecha final]]),Tabla20[#All],3,FALSE)</f>
        <v>0</v>
      </c>
      <c r="J18" s="16">
        <f>(Tabla18[[#This Row],[P3 + P6]])*VLOOKUP(MONTH(Tabla18[[#This Row],[Fecha final]]),Tabla20[#All],4,FALSE)</f>
        <v>209.18039999999999</v>
      </c>
      <c r="K18" s="16">
        <f>Tabla18[[#This Row],[P1 + P4]]*VLOOKUP(MONTH(Tabla18[[#This Row],[Fecha final]]),Tabla20[#All],5,FALSE)</f>
        <v>161</v>
      </c>
      <c r="L18" s="16">
        <f>Tabla18[[#This Row],[P2 + P5]]*VLOOKUP(MONTH(Tabla18[[#This Row],[Fecha final]]),Tabla20[#All],6,FALSE)</f>
        <v>0</v>
      </c>
      <c r="M18" s="16">
        <f>Tabla18[[#This Row],[P3 + P6]]*VLOOKUP(MONTH(Tabla18[[#This Row],[Fecha final]]),Tabla20[#All],7,FALSE)</f>
        <v>388.81959999999998</v>
      </c>
      <c r="N18" s="16">
        <f>YEAR(Tabla18[[#This Row],[Fecha final]])</f>
        <v>2021</v>
      </c>
    </row>
    <row r="19" spans="1:14">
      <c r="A19" s="17">
        <v>44377</v>
      </c>
      <c r="B19" s="16" t="s">
        <v>53</v>
      </c>
      <c r="C19" s="16">
        <v>31</v>
      </c>
      <c r="D19" s="16" t="s">
        <v>42</v>
      </c>
      <c r="E19" s="16">
        <v>531</v>
      </c>
      <c r="F19" s="16">
        <v>167</v>
      </c>
      <c r="G19" s="16">
        <v>215</v>
      </c>
      <c r="H19" s="16">
        <f>Tabla18[[#This Row],[P1 + P4]]*VLOOKUP(MONTH(Tabla18[[#This Row],[Fecha final]]),Tabla20[#All],2,FALSE)</f>
        <v>531</v>
      </c>
      <c r="I19" s="16">
        <f>Tabla18[[#This Row],[P2 + P5]]*VLOOKUP(MONTH(Tabla18[[#This Row],[Fecha final]]),Tabla20[#All],3,FALSE)</f>
        <v>167</v>
      </c>
      <c r="J19" s="16">
        <f>(Tabla18[[#This Row],[P3 + P6]])*VLOOKUP(MONTH(Tabla18[[#This Row],[Fecha final]]),Tabla20[#All],4,FALSE)</f>
        <v>0</v>
      </c>
      <c r="K19" s="16">
        <f>Tabla18[[#This Row],[P1 + P4]]*VLOOKUP(MONTH(Tabla18[[#This Row],[Fecha final]]),Tabla20[#All],5,FALSE)</f>
        <v>0</v>
      </c>
      <c r="L19" s="16">
        <f>Tabla18[[#This Row],[P2 + P5]]*VLOOKUP(MONTH(Tabla18[[#This Row],[Fecha final]]),Tabla20[#All],6,FALSE)</f>
        <v>0</v>
      </c>
      <c r="M19" s="16">
        <f>Tabla18[[#This Row],[P3 + P6]]*VLOOKUP(MONTH(Tabla18[[#This Row],[Fecha final]]),Tabla20[#All],7,FALSE)</f>
        <v>215</v>
      </c>
      <c r="N19" s="16">
        <f>YEAR(Tabla18[[#This Row],[Fecha final]])</f>
        <v>2021</v>
      </c>
    </row>
    <row r="20" spans="1:14">
      <c r="A20" s="17">
        <v>44408</v>
      </c>
      <c r="B20" s="16" t="s">
        <v>54</v>
      </c>
      <c r="C20" s="16">
        <v>31</v>
      </c>
      <c r="D20" s="16" t="s">
        <v>42</v>
      </c>
      <c r="E20" s="16">
        <v>198</v>
      </c>
      <c r="F20" s="16">
        <v>0</v>
      </c>
      <c r="G20" s="16">
        <v>825</v>
      </c>
      <c r="H20" s="16">
        <f>Tabla18[[#This Row],[P1 + P4]]*VLOOKUP(MONTH(Tabla18[[#This Row],[Fecha final]]),Tabla20[#All],2,FALSE)</f>
        <v>0</v>
      </c>
      <c r="I20" s="16">
        <f>Tabla18[[#This Row],[P2 + P5]]*VLOOKUP(MONTH(Tabla18[[#This Row],[Fecha final]]),Tabla20[#All],3,FALSE)</f>
        <v>0</v>
      </c>
      <c r="J20" s="16">
        <f>(Tabla18[[#This Row],[P3 + P6]])*VLOOKUP(MONTH(Tabla18[[#This Row],[Fecha final]]),Tabla20[#All],4,FALSE)</f>
        <v>276.87</v>
      </c>
      <c r="K20" s="16">
        <f>Tabla18[[#This Row],[P1 + P4]]*VLOOKUP(MONTH(Tabla18[[#This Row],[Fecha final]]),Tabla20[#All],5,FALSE)</f>
        <v>198</v>
      </c>
      <c r="L20" s="16">
        <f>Tabla18[[#This Row],[P2 + P5]]*VLOOKUP(MONTH(Tabla18[[#This Row],[Fecha final]]),Tabla20[#All],6,FALSE)</f>
        <v>0</v>
      </c>
      <c r="M20" s="16">
        <f>Tabla18[[#This Row],[P3 + P6]]*VLOOKUP(MONTH(Tabla18[[#This Row],[Fecha final]]),Tabla20[#All],7,FALSE)</f>
        <v>548.13</v>
      </c>
      <c r="N20" s="16">
        <f>YEAR(Tabla18[[#This Row],[Fecha final]])</f>
        <v>2021</v>
      </c>
    </row>
    <row r="21" spans="1:14">
      <c r="A21" s="17">
        <v>44439</v>
      </c>
      <c r="B21" s="16" t="s">
        <v>55</v>
      </c>
      <c r="C21" s="16">
        <v>30</v>
      </c>
      <c r="D21" s="16" t="s">
        <v>42</v>
      </c>
      <c r="E21" s="16">
        <v>230</v>
      </c>
      <c r="F21" s="16">
        <v>0</v>
      </c>
      <c r="G21" s="16">
        <v>695</v>
      </c>
      <c r="H21" s="16">
        <f>Tabla18[[#This Row],[P1 + P4]]*VLOOKUP(MONTH(Tabla18[[#This Row],[Fecha final]]),Tabla20[#All],2,FALSE)</f>
        <v>0</v>
      </c>
      <c r="I21" s="16">
        <f>Tabla18[[#This Row],[P2 + P5]]*VLOOKUP(MONTH(Tabla18[[#This Row],[Fecha final]]),Tabla20[#All],3,FALSE)</f>
        <v>0</v>
      </c>
      <c r="J21" s="16">
        <f>(Tabla18[[#This Row],[P3 + P6]])*VLOOKUP(MONTH(Tabla18[[#This Row],[Fecha final]]),Tabla20[#All],4,FALSE)</f>
        <v>243.11099999999999</v>
      </c>
      <c r="K21" s="16">
        <f>Tabla18[[#This Row],[P1 + P4]]*VLOOKUP(MONTH(Tabla18[[#This Row],[Fecha final]]),Tabla20[#All],5,FALSE)</f>
        <v>230</v>
      </c>
      <c r="L21" s="16">
        <f>Tabla18[[#This Row],[P2 + P5]]*VLOOKUP(MONTH(Tabla18[[#This Row],[Fecha final]]),Tabla20[#All],6,FALSE)</f>
        <v>0</v>
      </c>
      <c r="M21" s="16">
        <f>Tabla18[[#This Row],[P3 + P6]]*VLOOKUP(MONTH(Tabla18[[#This Row],[Fecha final]]),Tabla20[#All],7,FALSE)</f>
        <v>451.88900000000001</v>
      </c>
      <c r="N21" s="16">
        <f>YEAR(Tabla18[[#This Row],[Fecha final]])</f>
        <v>2021</v>
      </c>
    </row>
    <row r="22" spans="1:14">
      <c r="A22" s="17">
        <v>44469</v>
      </c>
      <c r="B22" s="16" t="s">
        <v>57</v>
      </c>
      <c r="C22" s="16">
        <v>31</v>
      </c>
      <c r="D22" s="16" t="s">
        <v>42</v>
      </c>
      <c r="E22" s="16">
        <v>719</v>
      </c>
      <c r="F22" s="16">
        <v>312</v>
      </c>
      <c r="G22" s="16">
        <v>232</v>
      </c>
      <c r="H22" s="16">
        <f>Tabla18[[#This Row],[P1 + P4]]*VLOOKUP(MONTH(Tabla18[[#This Row],[Fecha final]]),Tabla20[#All],2,FALSE)</f>
        <v>0</v>
      </c>
      <c r="I22" s="16">
        <f>Tabla18[[#This Row],[P2 + P5]]*VLOOKUP(MONTH(Tabla18[[#This Row],[Fecha final]]),Tabla20[#All],3,FALSE)</f>
        <v>0</v>
      </c>
      <c r="J22" s="16">
        <f>(Tabla18[[#This Row],[P3 + P6]])*VLOOKUP(MONTH(Tabla18[[#This Row],[Fecha final]]),Tabla20[#All],4,FALSE)</f>
        <v>0</v>
      </c>
      <c r="K22" s="16">
        <f>Tabla18[[#This Row],[P1 + P4]]*VLOOKUP(MONTH(Tabla18[[#This Row],[Fecha final]]),Tabla20[#All],5,FALSE)</f>
        <v>719</v>
      </c>
      <c r="L22" s="16">
        <f>Tabla18[[#This Row],[P2 + P5]]*VLOOKUP(MONTH(Tabla18[[#This Row],[Fecha final]]),Tabla20[#All],6,FALSE)</f>
        <v>312</v>
      </c>
      <c r="M22" s="16">
        <f>Tabla18[[#This Row],[P3 + P6]]*VLOOKUP(MONTH(Tabla18[[#This Row],[Fecha final]]),Tabla20[#All],7,FALSE)</f>
        <v>232</v>
      </c>
      <c r="N22" s="16">
        <f>YEAR(Tabla18[[#This Row],[Fecha final]])</f>
        <v>2021</v>
      </c>
    </row>
    <row r="23" spans="1:14">
      <c r="A23" s="17">
        <v>44500</v>
      </c>
      <c r="B23" s="16" t="s">
        <v>115</v>
      </c>
      <c r="C23" s="16">
        <v>33</v>
      </c>
      <c r="D23" s="16" t="s">
        <v>42</v>
      </c>
      <c r="E23" s="16">
        <v>243</v>
      </c>
      <c r="F23" s="16">
        <v>1478</v>
      </c>
      <c r="G23" s="16">
        <v>1102</v>
      </c>
      <c r="H23" s="16">
        <f>Tabla18[[#This Row],[P1 + P4]]*VLOOKUP(MONTH(Tabla18[[#This Row],[Fecha final]]),Tabla20[#All],2,FALSE)</f>
        <v>243</v>
      </c>
      <c r="I23" s="16">
        <f>Tabla18[[#This Row],[P2 + P5]]*VLOOKUP(MONTH(Tabla18[[#This Row],[Fecha final]]),Tabla20[#All],3,FALSE)</f>
        <v>1478</v>
      </c>
      <c r="J23" s="16">
        <f>(Tabla18[[#This Row],[P3 + P6]])*VLOOKUP(MONTH(Tabla18[[#This Row],[Fecha final]]),Tabla20[#All],4,FALSE)</f>
        <v>0</v>
      </c>
      <c r="K23" s="16">
        <f>Tabla18[[#This Row],[P1 + P4]]*VLOOKUP(MONTH(Tabla18[[#This Row],[Fecha final]]),Tabla20[#All],5,FALSE)</f>
        <v>0</v>
      </c>
      <c r="L23" s="16">
        <f>Tabla18[[#This Row],[P2 + P5]]*VLOOKUP(MONTH(Tabla18[[#This Row],[Fecha final]]),Tabla20[#All],6,FALSE)</f>
        <v>0</v>
      </c>
      <c r="M23" s="16">
        <f>Tabla18[[#This Row],[P3 + P6]]*VLOOKUP(MONTH(Tabla18[[#This Row],[Fecha final]]),Tabla20[#All],7,FALSE)</f>
        <v>1102</v>
      </c>
      <c r="N23" s="16">
        <f>YEAR(Tabla18[[#This Row],[Fecha final]])</f>
        <v>2021</v>
      </c>
    </row>
    <row r="24" spans="1:14">
      <c r="A24" s="17">
        <v>44533</v>
      </c>
      <c r="B24" s="16" t="s">
        <v>259</v>
      </c>
      <c r="C24" s="16">
        <v>6</v>
      </c>
      <c r="D24" s="16" t="s">
        <v>42</v>
      </c>
      <c r="E24" s="16">
        <v>127</v>
      </c>
      <c r="F24" s="16">
        <v>101</v>
      </c>
      <c r="G24" s="16">
        <v>176</v>
      </c>
      <c r="H24" s="16">
        <f>Tabla18[[#This Row],[P1 + P4]]*VLOOKUP(MONTH(Tabla18[[#This Row],[Fecha final]]),Tabla20[#All],2,FALSE)</f>
        <v>127</v>
      </c>
      <c r="I24" s="16">
        <f>Tabla18[[#This Row],[P2 + P5]]*VLOOKUP(MONTH(Tabla18[[#This Row],[Fecha final]]),Tabla20[#All],3,FALSE)</f>
        <v>101</v>
      </c>
      <c r="J24" s="16">
        <f>(Tabla18[[#This Row],[P3 + P6]])*VLOOKUP(MONTH(Tabla18[[#This Row],[Fecha final]]),Tabla20[#All],4,FALSE)</f>
        <v>0</v>
      </c>
      <c r="K24" s="16">
        <f>Tabla18[[#This Row],[P1 + P4]]*VLOOKUP(MONTH(Tabla18[[#This Row],[Fecha final]]),Tabla20[#All],5,FALSE)</f>
        <v>0</v>
      </c>
      <c r="L24" s="16">
        <f>Tabla18[[#This Row],[P2 + P5]]*VLOOKUP(MONTH(Tabla18[[#This Row],[Fecha final]]),Tabla20[#All],6,FALSE)</f>
        <v>0</v>
      </c>
      <c r="M24" s="16">
        <f>Tabla18[[#This Row],[P3 + P6]]*VLOOKUP(MONTH(Tabla18[[#This Row],[Fecha final]]),Tabla20[#All],7,FALSE)</f>
        <v>176</v>
      </c>
      <c r="N24" s="16">
        <f>YEAR(Tabla18[[#This Row],[Fecha final]])</f>
        <v>2021</v>
      </c>
    </row>
    <row r="25" spans="1:14">
      <c r="A25" s="17">
        <v>44539</v>
      </c>
      <c r="B25" s="16" t="s">
        <v>60</v>
      </c>
      <c r="C25" s="16">
        <v>22</v>
      </c>
      <c r="D25" s="16" t="s">
        <v>42</v>
      </c>
      <c r="E25" s="16">
        <v>723</v>
      </c>
      <c r="F25" s="16">
        <v>372</v>
      </c>
      <c r="G25" s="16">
        <v>321</v>
      </c>
      <c r="H25" s="16">
        <f>Tabla18[[#This Row],[P1 + P4]]*VLOOKUP(MONTH(Tabla18[[#This Row],[Fecha final]]),Tabla20[#All],2,FALSE)</f>
        <v>723</v>
      </c>
      <c r="I25" s="16">
        <f>Tabla18[[#This Row],[P2 + P5]]*VLOOKUP(MONTH(Tabla18[[#This Row],[Fecha final]]),Tabla20[#All],3,FALSE)</f>
        <v>372</v>
      </c>
      <c r="J25" s="16">
        <f>(Tabla18[[#This Row],[P3 + P6]])*VLOOKUP(MONTH(Tabla18[[#This Row],[Fecha final]]),Tabla20[#All],4,FALSE)</f>
        <v>0</v>
      </c>
      <c r="K25" s="16">
        <f>Tabla18[[#This Row],[P1 + P4]]*VLOOKUP(MONTH(Tabla18[[#This Row],[Fecha final]]),Tabla20[#All],5,FALSE)</f>
        <v>0</v>
      </c>
      <c r="L25" s="16">
        <f>Tabla18[[#This Row],[P2 + P5]]*VLOOKUP(MONTH(Tabla18[[#This Row],[Fecha final]]),Tabla20[#All],6,FALSE)</f>
        <v>0</v>
      </c>
      <c r="M25" s="16">
        <f>Tabla18[[#This Row],[P3 + P6]]*VLOOKUP(MONTH(Tabla18[[#This Row],[Fecha final]]),Tabla20[#All],7,FALSE)</f>
        <v>321</v>
      </c>
      <c r="N25" s="16">
        <f>YEAR(Tabla18[[#This Row],[Fecha final]])</f>
        <v>2021</v>
      </c>
    </row>
    <row r="26" spans="1:14">
      <c r="A26" s="17">
        <v>44561</v>
      </c>
      <c r="B26" s="16" t="s">
        <v>61</v>
      </c>
      <c r="C26" s="16">
        <v>31</v>
      </c>
      <c r="D26" s="16" t="s">
        <v>42</v>
      </c>
      <c r="E26" s="16">
        <v>235</v>
      </c>
      <c r="F26" s="16">
        <v>100</v>
      </c>
      <c r="G26" s="16">
        <v>217</v>
      </c>
      <c r="H26" s="16">
        <f>Tabla18[[#This Row],[P1 + P4]]*VLOOKUP(MONTH(Tabla18[[#This Row],[Fecha final]]),Tabla20[#All],2,FALSE)</f>
        <v>235</v>
      </c>
      <c r="I26" s="16">
        <f>Tabla18[[#This Row],[P2 + P5]]*VLOOKUP(MONTH(Tabla18[[#This Row],[Fecha final]]),Tabla20[#All],3,FALSE)</f>
        <v>100</v>
      </c>
      <c r="J26" s="16">
        <f>(Tabla18[[#This Row],[P3 + P6]])*VLOOKUP(MONTH(Tabla18[[#This Row],[Fecha final]]),Tabla20[#All],4,FALSE)</f>
        <v>0</v>
      </c>
      <c r="K26" s="16">
        <f>Tabla18[[#This Row],[P1 + P4]]*VLOOKUP(MONTH(Tabla18[[#This Row],[Fecha final]]),Tabla20[#All],5,FALSE)</f>
        <v>0</v>
      </c>
      <c r="L26" s="16">
        <f>Tabla18[[#This Row],[P2 + P5]]*VLOOKUP(MONTH(Tabla18[[#This Row],[Fecha final]]),Tabla20[#All],6,FALSE)</f>
        <v>0</v>
      </c>
      <c r="M26" s="16">
        <f>Tabla18[[#This Row],[P3 + P6]]*VLOOKUP(MONTH(Tabla18[[#This Row],[Fecha final]]),Tabla20[#All],7,FALSE)</f>
        <v>217</v>
      </c>
      <c r="N26" s="16">
        <f>YEAR(Tabla18[[#This Row],[Fecha final]])</f>
        <v>2022</v>
      </c>
    </row>
    <row r="27" spans="1:14">
      <c r="A27" s="17">
        <v>44592</v>
      </c>
      <c r="B27" s="16" t="s">
        <v>62</v>
      </c>
      <c r="C27" s="16">
        <v>28</v>
      </c>
      <c r="D27" s="16" t="s">
        <v>42</v>
      </c>
      <c r="E27" s="16">
        <v>1231</v>
      </c>
      <c r="F27" s="16">
        <v>469</v>
      </c>
      <c r="G27" s="16">
        <v>289</v>
      </c>
      <c r="H27" s="16">
        <f>Tabla18[[#This Row],[P1 + P4]]*VLOOKUP(MONTH(Tabla18[[#This Row],[Fecha final]]),Tabla20[#All],2,FALSE)</f>
        <v>1231</v>
      </c>
      <c r="I27" s="16">
        <f>Tabla18[[#This Row],[P2 + P5]]*VLOOKUP(MONTH(Tabla18[[#This Row],[Fecha final]]),Tabla20[#All],3,FALSE)</f>
        <v>469</v>
      </c>
      <c r="J27" s="16">
        <f>(Tabla18[[#This Row],[P3 + P6]])*VLOOKUP(MONTH(Tabla18[[#This Row],[Fecha final]]),Tabla20[#All],4,FALSE)</f>
        <v>0</v>
      </c>
      <c r="K27" s="16">
        <f>Tabla18[[#This Row],[P1 + P4]]*VLOOKUP(MONTH(Tabla18[[#This Row],[Fecha final]]),Tabla20[#All],5,FALSE)</f>
        <v>0</v>
      </c>
      <c r="L27" s="16">
        <f>Tabla18[[#This Row],[P2 + P5]]*VLOOKUP(MONTH(Tabla18[[#This Row],[Fecha final]]),Tabla20[#All],6,FALSE)</f>
        <v>0</v>
      </c>
      <c r="M27" s="16">
        <f>Tabla18[[#This Row],[P3 + P6]]*VLOOKUP(MONTH(Tabla18[[#This Row],[Fecha final]]),Tabla20[#All],7,FALSE)</f>
        <v>289</v>
      </c>
      <c r="N27" s="16">
        <f>YEAR(Tabla18[[#This Row],[Fecha final]])</f>
        <v>2022</v>
      </c>
    </row>
    <row r="28" spans="1:14">
      <c r="A28" s="17">
        <v>44620</v>
      </c>
      <c r="B28" s="16" t="s">
        <v>63</v>
      </c>
      <c r="C28" s="16">
        <v>31</v>
      </c>
      <c r="D28" s="16" t="s">
        <v>42</v>
      </c>
      <c r="E28" s="16">
        <v>0</v>
      </c>
      <c r="F28" s="16">
        <v>1550</v>
      </c>
      <c r="G28" s="16">
        <v>1000</v>
      </c>
      <c r="H28" s="16">
        <f>Tabla18[[#This Row],[P1 + P4]]*VLOOKUP(MONTH(Tabla18[[#This Row],[Fecha final]]),Tabla20[#All],2,FALSE)</f>
        <v>0</v>
      </c>
      <c r="I28" s="16">
        <f>Tabla18[[#This Row],[P2 + P5]]*VLOOKUP(MONTH(Tabla18[[#This Row],[Fecha final]]),Tabla20[#All],3,FALSE)</f>
        <v>1550</v>
      </c>
      <c r="J28" s="16">
        <f>(Tabla18[[#This Row],[P3 + P6]])*VLOOKUP(MONTH(Tabla18[[#This Row],[Fecha final]]),Tabla20[#All],4,FALSE)</f>
        <v>299.8</v>
      </c>
      <c r="K28" s="16">
        <f>Tabla18[[#This Row],[P1 + P4]]*VLOOKUP(MONTH(Tabla18[[#This Row],[Fecha final]]),Tabla20[#All],5,FALSE)</f>
        <v>0</v>
      </c>
      <c r="L28" s="16">
        <f>Tabla18[[#This Row],[P2 + P5]]*VLOOKUP(MONTH(Tabla18[[#This Row],[Fecha final]]),Tabla20[#All],6,FALSE)</f>
        <v>0</v>
      </c>
      <c r="M28" s="16">
        <f>Tabla18[[#This Row],[P3 + P6]]*VLOOKUP(MONTH(Tabla18[[#This Row],[Fecha final]]),Tabla20[#All],7,FALSE)</f>
        <v>700.2</v>
      </c>
      <c r="N28" s="16">
        <f>YEAR(Tabla18[[#This Row],[Fecha final]])</f>
        <v>2022</v>
      </c>
    </row>
    <row r="29" spans="1:14">
      <c r="A29" s="17">
        <v>44651</v>
      </c>
      <c r="B29" s="16" t="s">
        <v>65</v>
      </c>
      <c r="C29" s="16">
        <v>30</v>
      </c>
      <c r="D29" s="16" t="s">
        <v>42</v>
      </c>
      <c r="E29" s="16">
        <v>1100</v>
      </c>
      <c r="F29" s="16">
        <v>432</v>
      </c>
      <c r="G29" s="16">
        <v>282</v>
      </c>
      <c r="H29" s="16">
        <f>Tabla18[[#This Row],[P1 + P4]]*VLOOKUP(MONTH(Tabla18[[#This Row],[Fecha final]]),Tabla20[#All],2,FALSE)</f>
        <v>0</v>
      </c>
      <c r="I29" s="16">
        <f>Tabla18[[#This Row],[P2 + P5]]*VLOOKUP(MONTH(Tabla18[[#This Row],[Fecha final]]),Tabla20[#All],3,FALSE)</f>
        <v>0</v>
      </c>
      <c r="J29" s="16">
        <f>(Tabla18[[#This Row],[P3 + P6]])*VLOOKUP(MONTH(Tabla18[[#This Row],[Fecha final]]),Tabla20[#All],4,FALSE)</f>
        <v>0</v>
      </c>
      <c r="K29" s="16">
        <f>Tabla18[[#This Row],[P1 + P4]]*VLOOKUP(MONTH(Tabla18[[#This Row],[Fecha final]]),Tabla20[#All],5,FALSE)</f>
        <v>1100</v>
      </c>
      <c r="L29" s="16">
        <f>Tabla18[[#This Row],[P2 + P5]]*VLOOKUP(MONTH(Tabla18[[#This Row],[Fecha final]]),Tabla20[#All],6,FALSE)</f>
        <v>432</v>
      </c>
      <c r="M29" s="16">
        <f>Tabla18[[#This Row],[P3 + P6]]*VLOOKUP(MONTH(Tabla18[[#This Row],[Fecha final]]),Tabla20[#All],7,FALSE)</f>
        <v>282</v>
      </c>
      <c r="N29" s="16">
        <f>YEAR(Tabla18[[#This Row],[Fecha final]])</f>
        <v>2022</v>
      </c>
    </row>
    <row r="30" spans="1:14">
      <c r="A30" s="17">
        <v>44681</v>
      </c>
      <c r="B30" s="16" t="s">
        <v>66</v>
      </c>
      <c r="C30" s="16">
        <v>31</v>
      </c>
      <c r="D30" s="16" t="s">
        <v>42</v>
      </c>
      <c r="E30" s="16">
        <v>406</v>
      </c>
      <c r="F30" s="16">
        <v>189</v>
      </c>
      <c r="G30" s="16">
        <v>227</v>
      </c>
      <c r="H30" s="16">
        <f>Tabla18[[#This Row],[P1 + P4]]*VLOOKUP(MONTH(Tabla18[[#This Row],[Fecha final]]),Tabla20[#All],2,FALSE)</f>
        <v>0</v>
      </c>
      <c r="I30" s="16">
        <f>Tabla18[[#This Row],[P2 + P5]]*VLOOKUP(MONTH(Tabla18[[#This Row],[Fecha final]]),Tabla20[#All],3,FALSE)</f>
        <v>0</v>
      </c>
      <c r="J30" s="16">
        <f>(Tabla18[[#This Row],[P3 + P6]])*VLOOKUP(MONTH(Tabla18[[#This Row],[Fecha final]]),Tabla20[#All],4,FALSE)</f>
        <v>0</v>
      </c>
      <c r="K30" s="16">
        <f>Tabla18[[#This Row],[P1 + P4]]*VLOOKUP(MONTH(Tabla18[[#This Row],[Fecha final]]),Tabla20[#All],5,FALSE)</f>
        <v>406</v>
      </c>
      <c r="L30" s="16">
        <f>Tabla18[[#This Row],[P2 + P5]]*VLOOKUP(MONTH(Tabla18[[#This Row],[Fecha final]]),Tabla20[#All],6,FALSE)</f>
        <v>189</v>
      </c>
      <c r="M30" s="16">
        <f>Tabla18[[#This Row],[P3 + P6]]*VLOOKUP(MONTH(Tabla18[[#This Row],[Fecha final]]),Tabla20[#All],7,FALSE)</f>
        <v>227</v>
      </c>
      <c r="N30" s="16">
        <f>YEAR(Tabla18[[#This Row],[Fecha final]])</f>
        <v>2022</v>
      </c>
    </row>
    <row r="31" spans="1:14">
      <c r="A31" s="17">
        <v>44712</v>
      </c>
      <c r="B31" s="16" t="s">
        <v>67</v>
      </c>
      <c r="C31" s="16">
        <v>30</v>
      </c>
      <c r="D31" s="16" t="s">
        <v>42</v>
      </c>
      <c r="E31" s="16">
        <v>247</v>
      </c>
      <c r="F31" s="16">
        <v>0</v>
      </c>
      <c r="G31" s="16">
        <v>732</v>
      </c>
      <c r="H31" s="16">
        <f>Tabla18[[#This Row],[P1 + P4]]*VLOOKUP(MONTH(Tabla18[[#This Row],[Fecha final]]),Tabla20[#All],2,FALSE)</f>
        <v>0</v>
      </c>
      <c r="I31" s="16">
        <f>Tabla18[[#This Row],[P2 + P5]]*VLOOKUP(MONTH(Tabla18[[#This Row],[Fecha final]]),Tabla20[#All],3,FALSE)</f>
        <v>0</v>
      </c>
      <c r="J31" s="16">
        <f>(Tabla18[[#This Row],[P3 + P6]])*VLOOKUP(MONTH(Tabla18[[#This Row],[Fecha final]]),Tabla20[#All],4,FALSE)</f>
        <v>256.05360000000002</v>
      </c>
      <c r="K31" s="16">
        <f>Tabla18[[#This Row],[P1 + P4]]*VLOOKUP(MONTH(Tabla18[[#This Row],[Fecha final]]),Tabla20[#All],5,FALSE)</f>
        <v>247</v>
      </c>
      <c r="L31" s="16">
        <f>Tabla18[[#This Row],[P2 + P5]]*VLOOKUP(MONTH(Tabla18[[#This Row],[Fecha final]]),Tabla20[#All],6,FALSE)</f>
        <v>0</v>
      </c>
      <c r="M31" s="16">
        <f>Tabla18[[#This Row],[P3 + P6]]*VLOOKUP(MONTH(Tabla18[[#This Row],[Fecha final]]),Tabla20[#All],7,FALSE)</f>
        <v>475.94639999999998</v>
      </c>
      <c r="N31" s="16">
        <f>YEAR(Tabla18[[#This Row],[Fecha final]])</f>
        <v>2022</v>
      </c>
    </row>
    <row r="32" spans="1:14">
      <c r="A32" s="17">
        <v>44742</v>
      </c>
      <c r="B32" s="16" t="s">
        <v>68</v>
      </c>
      <c r="C32" s="16">
        <v>31</v>
      </c>
      <c r="D32" s="16" t="s">
        <v>42</v>
      </c>
      <c r="E32" s="16">
        <v>768</v>
      </c>
      <c r="F32" s="16">
        <v>381</v>
      </c>
      <c r="G32" s="16">
        <v>393</v>
      </c>
      <c r="H32" s="16">
        <f>Tabla18[[#This Row],[P1 + P4]]*VLOOKUP(MONTH(Tabla18[[#This Row],[Fecha final]]),Tabla20[#All],2,FALSE)</f>
        <v>768</v>
      </c>
      <c r="I32" s="16">
        <f>Tabla18[[#This Row],[P2 + P5]]*VLOOKUP(MONTH(Tabla18[[#This Row],[Fecha final]]),Tabla20[#All],3,FALSE)</f>
        <v>381</v>
      </c>
      <c r="J32" s="16">
        <f>(Tabla18[[#This Row],[P3 + P6]])*VLOOKUP(MONTH(Tabla18[[#This Row],[Fecha final]]),Tabla20[#All],4,FALSE)</f>
        <v>0</v>
      </c>
      <c r="K32" s="16">
        <f>Tabla18[[#This Row],[P1 + P4]]*VLOOKUP(MONTH(Tabla18[[#This Row],[Fecha final]]),Tabla20[#All],5,FALSE)</f>
        <v>0</v>
      </c>
      <c r="L32" s="16">
        <f>Tabla18[[#This Row],[P2 + P5]]*VLOOKUP(MONTH(Tabla18[[#This Row],[Fecha final]]),Tabla20[#All],6,FALSE)</f>
        <v>0</v>
      </c>
      <c r="M32" s="16">
        <f>Tabla18[[#This Row],[P3 + P6]]*VLOOKUP(MONTH(Tabla18[[#This Row],[Fecha final]]),Tabla20[#All],7,FALSE)</f>
        <v>393</v>
      </c>
      <c r="N32" s="16">
        <f>YEAR(Tabla18[[#This Row],[Fecha final]])</f>
        <v>2022</v>
      </c>
    </row>
    <row r="33" spans="1:14">
      <c r="A33" s="17">
        <v>44773</v>
      </c>
      <c r="B33" s="16" t="s">
        <v>69</v>
      </c>
      <c r="C33" s="16">
        <v>31</v>
      </c>
      <c r="D33" s="16" t="s">
        <v>42</v>
      </c>
      <c r="E33" s="16">
        <v>344</v>
      </c>
      <c r="F33" s="16">
        <v>0</v>
      </c>
      <c r="G33" s="16">
        <v>1026</v>
      </c>
      <c r="H33" s="16">
        <f>Tabla18[[#This Row],[P1 + P4]]*VLOOKUP(MONTH(Tabla18[[#This Row],[Fecha final]]),Tabla20[#All],2,FALSE)</f>
        <v>0</v>
      </c>
      <c r="I33" s="16">
        <f>Tabla18[[#This Row],[P2 + P5]]*VLOOKUP(MONTH(Tabla18[[#This Row],[Fecha final]]),Tabla20[#All],3,FALSE)</f>
        <v>0</v>
      </c>
      <c r="J33" s="16">
        <f>(Tabla18[[#This Row],[P3 + P6]])*VLOOKUP(MONTH(Tabla18[[#This Row],[Fecha final]]),Tabla20[#All],4,FALSE)</f>
        <v>344.32560000000001</v>
      </c>
      <c r="K33" s="16">
        <f>Tabla18[[#This Row],[P1 + P4]]*VLOOKUP(MONTH(Tabla18[[#This Row],[Fecha final]]),Tabla20[#All],5,FALSE)</f>
        <v>344</v>
      </c>
      <c r="L33" s="16">
        <f>Tabla18[[#This Row],[P2 + P5]]*VLOOKUP(MONTH(Tabla18[[#This Row],[Fecha final]]),Tabla20[#All],6,FALSE)</f>
        <v>0</v>
      </c>
      <c r="M33" s="16">
        <f>Tabla18[[#This Row],[P3 + P6]]*VLOOKUP(MONTH(Tabla18[[#This Row],[Fecha final]]),Tabla20[#All],7,FALSE)</f>
        <v>681.67439999999999</v>
      </c>
      <c r="N33" s="16">
        <f>YEAR(Tabla18[[#This Row],[Fecha final]])</f>
        <v>2022</v>
      </c>
    </row>
    <row r="34" spans="1:14">
      <c r="A34" s="17">
        <v>44804</v>
      </c>
      <c r="B34" s="16" t="s">
        <v>70</v>
      </c>
      <c r="C34" s="16">
        <v>30</v>
      </c>
      <c r="D34" s="16" t="s">
        <v>42</v>
      </c>
      <c r="E34" s="16">
        <v>189</v>
      </c>
      <c r="F34" s="16">
        <v>0</v>
      </c>
      <c r="G34" s="16">
        <v>593</v>
      </c>
      <c r="H34" s="16">
        <f>Tabla18[[#This Row],[P1 + P4]]*VLOOKUP(MONTH(Tabla18[[#This Row],[Fecha final]]),Tabla20[#All],2,FALSE)</f>
        <v>0</v>
      </c>
      <c r="I34" s="16">
        <f>Tabla18[[#This Row],[P2 + P5]]*VLOOKUP(MONTH(Tabla18[[#This Row],[Fecha final]]),Tabla20[#All],3,FALSE)</f>
        <v>0</v>
      </c>
      <c r="J34" s="16">
        <f>(Tabla18[[#This Row],[P3 + P6]])*VLOOKUP(MONTH(Tabla18[[#This Row],[Fecha final]]),Tabla20[#All],4,FALSE)</f>
        <v>207.4314</v>
      </c>
      <c r="K34" s="16">
        <f>Tabla18[[#This Row],[P1 + P4]]*VLOOKUP(MONTH(Tabla18[[#This Row],[Fecha final]]),Tabla20[#All],5,FALSE)</f>
        <v>189</v>
      </c>
      <c r="L34" s="16">
        <f>Tabla18[[#This Row],[P2 + P5]]*VLOOKUP(MONTH(Tabla18[[#This Row],[Fecha final]]),Tabla20[#All],6,FALSE)</f>
        <v>0</v>
      </c>
      <c r="M34" s="16">
        <f>Tabla18[[#This Row],[P3 + P6]]*VLOOKUP(MONTH(Tabla18[[#This Row],[Fecha final]]),Tabla20[#All],7,FALSE)</f>
        <v>385.5686</v>
      </c>
      <c r="N34" s="16">
        <f>YEAR(Tabla18[[#This Row],[Fecha final]])</f>
        <v>2022</v>
      </c>
    </row>
    <row r="35" spans="1:14">
      <c r="A35" s="17">
        <v>44834</v>
      </c>
      <c r="B35" s="16" t="s">
        <v>71</v>
      </c>
      <c r="C35" s="16">
        <v>31</v>
      </c>
      <c r="D35" s="16" t="s">
        <v>42</v>
      </c>
      <c r="E35" s="16">
        <v>438</v>
      </c>
      <c r="F35" s="16">
        <v>197</v>
      </c>
      <c r="G35" s="16">
        <v>239</v>
      </c>
      <c r="H35" s="16">
        <f>Tabla18[[#This Row],[P1 + P4]]*VLOOKUP(MONTH(Tabla18[[#This Row],[Fecha final]]),Tabla20[#All],2,FALSE)</f>
        <v>0</v>
      </c>
      <c r="I35" s="16">
        <f>Tabla18[[#This Row],[P2 + P5]]*VLOOKUP(MONTH(Tabla18[[#This Row],[Fecha final]]),Tabla20[#All],3,FALSE)</f>
        <v>0</v>
      </c>
      <c r="J35" s="16">
        <f>(Tabla18[[#This Row],[P3 + P6]])*VLOOKUP(MONTH(Tabla18[[#This Row],[Fecha final]]),Tabla20[#All],4,FALSE)</f>
        <v>0</v>
      </c>
      <c r="K35" s="16">
        <f>Tabla18[[#This Row],[P1 + P4]]*VLOOKUP(MONTH(Tabla18[[#This Row],[Fecha final]]),Tabla20[#All],5,FALSE)</f>
        <v>438</v>
      </c>
      <c r="L35" s="16">
        <f>Tabla18[[#This Row],[P2 + P5]]*VLOOKUP(MONTH(Tabla18[[#This Row],[Fecha final]]),Tabla20[#All],6,FALSE)</f>
        <v>197</v>
      </c>
      <c r="M35" s="16">
        <f>Tabla18[[#This Row],[P3 + P6]]*VLOOKUP(MONTH(Tabla18[[#This Row],[Fecha final]]),Tabla20[#All],7,FALSE)</f>
        <v>239</v>
      </c>
      <c r="N35" s="16">
        <f>YEAR(Tabla18[[#This Row],[Fecha final]])</f>
        <v>2022</v>
      </c>
    </row>
    <row r="36" spans="1:14">
      <c r="A36" s="17">
        <v>44865</v>
      </c>
      <c r="B36" s="16" t="s">
        <v>72</v>
      </c>
      <c r="C36" s="16">
        <v>30</v>
      </c>
      <c r="D36" s="16" t="s">
        <v>42</v>
      </c>
      <c r="E36" s="16">
        <v>0</v>
      </c>
      <c r="F36" s="16">
        <v>997</v>
      </c>
      <c r="G36" s="16">
        <v>751</v>
      </c>
      <c r="H36" s="16">
        <f>Tabla18[[#This Row],[P1 + P4]]*VLOOKUP(MONTH(Tabla18[[#This Row],[Fecha final]]),Tabla20[#All],2,FALSE)</f>
        <v>0</v>
      </c>
      <c r="I36" s="16">
        <f>Tabla18[[#This Row],[P2 + P5]]*VLOOKUP(MONTH(Tabla18[[#This Row],[Fecha final]]),Tabla20[#All],3,FALSE)</f>
        <v>997</v>
      </c>
      <c r="J36" s="16">
        <f>(Tabla18[[#This Row],[P3 + P6]])*VLOOKUP(MONTH(Tabla18[[#This Row],[Fecha final]]),Tabla20[#All],4,FALSE)</f>
        <v>207.8768</v>
      </c>
      <c r="K36" s="16">
        <f>Tabla18[[#This Row],[P1 + P4]]*VLOOKUP(MONTH(Tabla18[[#This Row],[Fecha final]]),Tabla20[#All],5,FALSE)</f>
        <v>0</v>
      </c>
      <c r="L36" s="16">
        <f>Tabla18[[#This Row],[P2 + P5]]*VLOOKUP(MONTH(Tabla18[[#This Row],[Fecha final]]),Tabla20[#All],6,FALSE)</f>
        <v>0</v>
      </c>
      <c r="M36" s="16">
        <f>Tabla18[[#This Row],[P3 + P6]]*VLOOKUP(MONTH(Tabla18[[#This Row],[Fecha final]]),Tabla20[#All],7,FALSE)</f>
        <v>543.1232</v>
      </c>
      <c r="N36" s="16">
        <f>YEAR(Tabla18[[#This Row],[Fecha final]])</f>
        <v>2022</v>
      </c>
    </row>
    <row r="37" spans="1:14">
      <c r="A37" s="17">
        <v>44895</v>
      </c>
      <c r="B37" s="16" t="s">
        <v>73</v>
      </c>
      <c r="C37" s="16">
        <v>31</v>
      </c>
      <c r="D37" s="16" t="s">
        <v>42</v>
      </c>
      <c r="E37" s="16">
        <v>1180</v>
      </c>
      <c r="F37" s="16">
        <v>554</v>
      </c>
      <c r="G37" s="16">
        <v>403</v>
      </c>
      <c r="H37" s="16">
        <f>Tabla18[[#This Row],[P1 + P4]]*VLOOKUP(MONTH(Tabla18[[#This Row],[Fecha final]]),Tabla20[#All],2,FALSE)</f>
        <v>1180</v>
      </c>
      <c r="I37" s="16">
        <f>Tabla18[[#This Row],[P2 + P5]]*VLOOKUP(MONTH(Tabla18[[#This Row],[Fecha final]]),Tabla20[#All],3,FALSE)</f>
        <v>554</v>
      </c>
      <c r="J37" s="16">
        <f>(Tabla18[[#This Row],[P3 + P6]])*VLOOKUP(MONTH(Tabla18[[#This Row],[Fecha final]]),Tabla20[#All],4,FALSE)</f>
        <v>0</v>
      </c>
      <c r="K37" s="16">
        <f>Tabla18[[#This Row],[P1 + P4]]*VLOOKUP(MONTH(Tabla18[[#This Row],[Fecha final]]),Tabla20[#All],5,FALSE)</f>
        <v>0</v>
      </c>
      <c r="L37" s="16">
        <f>Tabla18[[#This Row],[P2 + P5]]*VLOOKUP(MONTH(Tabla18[[#This Row],[Fecha final]]),Tabla20[#All],6,FALSE)</f>
        <v>0</v>
      </c>
      <c r="M37" s="16">
        <f>Tabla18[[#This Row],[P3 + P6]]*VLOOKUP(MONTH(Tabla18[[#This Row],[Fecha final]]),Tabla20[#All],7,FALSE)</f>
        <v>403</v>
      </c>
      <c r="N37" s="16">
        <f>YEAR(Tabla18[[#This Row],[Fecha final]])</f>
        <v>2022</v>
      </c>
    </row>
    <row r="38" spans="1:14">
      <c r="A38" s="17">
        <v>44926</v>
      </c>
      <c r="B38" s="16" t="s">
        <v>74</v>
      </c>
      <c r="C38" s="16">
        <v>31</v>
      </c>
      <c r="D38" s="16" t="s">
        <v>42</v>
      </c>
      <c r="E38" s="16">
        <v>1486</v>
      </c>
      <c r="F38" s="16">
        <v>623</v>
      </c>
      <c r="G38" s="16">
        <v>393</v>
      </c>
      <c r="H38" s="16">
        <f>Tabla18[[#This Row],[P1 + P4]]*VLOOKUP(MONTH(Tabla18[[#This Row],[Fecha final]]),Tabla20[#All],2,FALSE)</f>
        <v>1486</v>
      </c>
      <c r="I38" s="16">
        <f>Tabla18[[#This Row],[P2 + P5]]*VLOOKUP(MONTH(Tabla18[[#This Row],[Fecha final]]),Tabla20[#All],3,FALSE)</f>
        <v>623</v>
      </c>
      <c r="J38" s="16">
        <f>(Tabla18[[#This Row],[P3 + P6]])*VLOOKUP(MONTH(Tabla18[[#This Row],[Fecha final]]),Tabla20[#All],4,FALSE)</f>
        <v>0</v>
      </c>
      <c r="K38" s="16">
        <f>Tabla18[[#This Row],[P1 + P4]]*VLOOKUP(MONTH(Tabla18[[#This Row],[Fecha final]]),Tabla20[#All],5,FALSE)</f>
        <v>0</v>
      </c>
      <c r="L38" s="16">
        <f>Tabla18[[#This Row],[P2 + P5]]*VLOOKUP(MONTH(Tabla18[[#This Row],[Fecha final]]),Tabla20[#All],6,FALSE)</f>
        <v>0</v>
      </c>
      <c r="M38" s="16">
        <f>Tabla18[[#This Row],[P3 + P6]]*VLOOKUP(MONTH(Tabla18[[#This Row],[Fecha final]]),Tabla20[#All],7,FALSE)</f>
        <v>393</v>
      </c>
      <c r="N38" s="16">
        <f>YEAR(Tabla18[[#This Row],[Fecha final]])</f>
        <v>2023</v>
      </c>
    </row>
    <row r="39" spans="1:14">
      <c r="A39" s="17">
        <v>44957</v>
      </c>
      <c r="B39" s="16" t="s">
        <v>75</v>
      </c>
      <c r="C39" s="16">
        <v>28</v>
      </c>
      <c r="D39" s="16" t="s">
        <v>42</v>
      </c>
      <c r="E39" s="16">
        <v>1512</v>
      </c>
      <c r="F39" s="16">
        <v>594</v>
      </c>
      <c r="G39" s="16">
        <v>414</v>
      </c>
      <c r="H39" s="16">
        <f>Tabla18[[#This Row],[P1 + P4]]*VLOOKUP(MONTH(Tabla18[[#This Row],[Fecha final]]),Tabla20[#All],2,FALSE)</f>
        <v>1512</v>
      </c>
      <c r="I39" s="16">
        <f>Tabla18[[#This Row],[P2 + P5]]*VLOOKUP(MONTH(Tabla18[[#This Row],[Fecha final]]),Tabla20[#All],3,FALSE)</f>
        <v>594</v>
      </c>
      <c r="J39" s="16">
        <f>(Tabla18[[#This Row],[P3 + P6]])*VLOOKUP(MONTH(Tabla18[[#This Row],[Fecha final]]),Tabla20[#All],4,FALSE)</f>
        <v>0</v>
      </c>
      <c r="K39" s="16">
        <f>Tabla18[[#This Row],[P1 + P4]]*VLOOKUP(MONTH(Tabla18[[#This Row],[Fecha final]]),Tabla20[#All],5,FALSE)</f>
        <v>0</v>
      </c>
      <c r="L39" s="16">
        <f>Tabla18[[#This Row],[P2 + P5]]*VLOOKUP(MONTH(Tabla18[[#This Row],[Fecha final]]),Tabla20[#All],6,FALSE)</f>
        <v>0</v>
      </c>
      <c r="M39" s="16">
        <f>Tabla18[[#This Row],[P3 + P6]]*VLOOKUP(MONTH(Tabla18[[#This Row],[Fecha final]]),Tabla20[#All],7,FALSE)</f>
        <v>414</v>
      </c>
      <c r="N39" s="16">
        <f>YEAR(Tabla18[[#This Row],[Fecha final]])</f>
        <v>2023</v>
      </c>
    </row>
    <row r="40" spans="1:14">
      <c r="A40" s="17">
        <v>44985</v>
      </c>
      <c r="B40" s="16" t="s">
        <v>76</v>
      </c>
      <c r="C40" s="16">
        <v>31</v>
      </c>
      <c r="D40" s="16" t="s">
        <v>42</v>
      </c>
      <c r="E40" s="16">
        <v>0</v>
      </c>
      <c r="F40" s="16">
        <v>1057</v>
      </c>
      <c r="G40" s="16">
        <v>789</v>
      </c>
      <c r="H40" s="16">
        <f>Tabla18[[#This Row],[P1 + P4]]*VLOOKUP(MONTH(Tabla18[[#This Row],[Fecha final]]),Tabla20[#All],2,FALSE)</f>
        <v>0</v>
      </c>
      <c r="I40" s="16">
        <f>Tabla18[[#This Row],[P2 + P5]]*VLOOKUP(MONTH(Tabla18[[#This Row],[Fecha final]]),Tabla20[#All],3,FALSE)</f>
        <v>1057</v>
      </c>
      <c r="J40" s="16">
        <f>(Tabla18[[#This Row],[P3 + P6]])*VLOOKUP(MONTH(Tabla18[[#This Row],[Fecha final]]),Tabla20[#All],4,FALSE)</f>
        <v>236.54220000000001</v>
      </c>
      <c r="K40" s="16">
        <f>Tabla18[[#This Row],[P1 + P4]]*VLOOKUP(MONTH(Tabla18[[#This Row],[Fecha final]]),Tabla20[#All],5,FALSE)</f>
        <v>0</v>
      </c>
      <c r="L40" s="16">
        <f>Tabla18[[#This Row],[P2 + P5]]*VLOOKUP(MONTH(Tabla18[[#This Row],[Fecha final]]),Tabla20[#All],6,FALSE)</f>
        <v>0</v>
      </c>
      <c r="M40" s="16">
        <f>Tabla18[[#This Row],[P3 + P6]]*VLOOKUP(MONTH(Tabla18[[#This Row],[Fecha final]]),Tabla20[#All],7,FALSE)</f>
        <v>552.45780000000002</v>
      </c>
      <c r="N40" s="16">
        <f>YEAR(Tabla18[[#This Row],[Fecha final]])</f>
        <v>2023</v>
      </c>
    </row>
    <row r="43" spans="1:14">
      <c r="A43" s="16" t="s">
        <v>77</v>
      </c>
    </row>
    <row r="45" spans="1:14">
      <c r="A45" s="16" t="s">
        <v>37</v>
      </c>
      <c r="B45" s="16" t="s">
        <v>38</v>
      </c>
      <c r="C45" s="16" t="s">
        <v>39</v>
      </c>
      <c r="D45" s="16" t="s">
        <v>40</v>
      </c>
      <c r="E45" s="16" t="s">
        <v>32</v>
      </c>
      <c r="F45" s="16" t="s">
        <v>33</v>
      </c>
      <c r="G45" s="16" t="s">
        <v>34</v>
      </c>
    </row>
    <row r="46" spans="1:14">
      <c r="A46" s="16" t="s">
        <v>75</v>
      </c>
      <c r="B46" s="16" t="s">
        <v>76</v>
      </c>
      <c r="C46" s="16">
        <v>31</v>
      </c>
      <c r="D46" s="16" t="s">
        <v>42</v>
      </c>
      <c r="E46" s="16">
        <v>0</v>
      </c>
      <c r="F46" s="16">
        <v>0</v>
      </c>
      <c r="G46" s="16">
        <v>0</v>
      </c>
    </row>
    <row r="47" spans="1:14">
      <c r="A47" s="16" t="s">
        <v>74</v>
      </c>
      <c r="B47" s="16" t="s">
        <v>75</v>
      </c>
      <c r="C47" s="16">
        <v>28</v>
      </c>
      <c r="D47" s="16" t="s">
        <v>42</v>
      </c>
      <c r="E47" s="16">
        <v>1</v>
      </c>
      <c r="F47" s="16">
        <v>0</v>
      </c>
      <c r="G47" s="16">
        <v>0</v>
      </c>
    </row>
    <row r="48" spans="1:14">
      <c r="A48" s="16" t="s">
        <v>73</v>
      </c>
      <c r="B48" s="16" t="s">
        <v>74</v>
      </c>
      <c r="C48" s="16">
        <v>31</v>
      </c>
      <c r="D48" s="16" t="s">
        <v>42</v>
      </c>
      <c r="E48" s="16">
        <v>5</v>
      </c>
      <c r="F48" s="16">
        <v>2</v>
      </c>
      <c r="G48" s="16">
        <v>0</v>
      </c>
    </row>
    <row r="49" spans="1:7">
      <c r="A49" s="16" t="s">
        <v>72</v>
      </c>
      <c r="B49" s="16" t="s">
        <v>73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71</v>
      </c>
      <c r="B50" s="16" t="s">
        <v>72</v>
      </c>
      <c r="C50" s="16">
        <v>30</v>
      </c>
      <c r="D50" s="16" t="s">
        <v>42</v>
      </c>
      <c r="E50" s="16">
        <v>0</v>
      </c>
      <c r="F50" s="16">
        <v>1</v>
      </c>
      <c r="G50" s="16">
        <v>0</v>
      </c>
    </row>
    <row r="51" spans="1:7">
      <c r="A51" s="16" t="s">
        <v>70</v>
      </c>
      <c r="B51" s="16" t="s">
        <v>71</v>
      </c>
      <c r="C51" s="16">
        <v>31</v>
      </c>
      <c r="D51" s="16" t="s">
        <v>42</v>
      </c>
      <c r="E51" s="16">
        <v>1</v>
      </c>
      <c r="F51" s="16">
        <v>0</v>
      </c>
      <c r="G51" s="16">
        <v>0</v>
      </c>
    </row>
    <row r="52" spans="1:7">
      <c r="A52" s="16" t="s">
        <v>69</v>
      </c>
      <c r="B52" s="16" t="s">
        <v>70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68</v>
      </c>
      <c r="B53" s="16" t="s">
        <v>69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67</v>
      </c>
      <c r="B54" s="16" t="s">
        <v>68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66</v>
      </c>
      <c r="B55" s="16" t="s">
        <v>67</v>
      </c>
      <c r="C55" s="16">
        <v>30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65</v>
      </c>
      <c r="B56" s="16" t="s">
        <v>66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63</v>
      </c>
      <c r="B57" s="16" t="s">
        <v>65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62</v>
      </c>
      <c r="B58" s="16" t="s">
        <v>63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61</v>
      </c>
      <c r="B59" s="16" t="s">
        <v>62</v>
      </c>
      <c r="C59" s="16">
        <v>28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60</v>
      </c>
      <c r="B60" s="16" t="s">
        <v>61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259</v>
      </c>
      <c r="B61" s="16" t="s">
        <v>60</v>
      </c>
      <c r="C61" s="16">
        <v>22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115</v>
      </c>
      <c r="B62" s="16" t="s">
        <v>259</v>
      </c>
      <c r="C62" s="16">
        <v>6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57</v>
      </c>
      <c r="B63" s="16" t="s">
        <v>115</v>
      </c>
      <c r="C63" s="16">
        <v>33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55</v>
      </c>
      <c r="B64" s="16" t="s">
        <v>57</v>
      </c>
      <c r="C64" s="16">
        <v>31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54</v>
      </c>
      <c r="B65" s="16" t="s">
        <v>55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53</v>
      </c>
      <c r="B66" s="16" t="s">
        <v>54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52</v>
      </c>
      <c r="B67" s="16" t="s">
        <v>53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51</v>
      </c>
      <c r="B68" s="16" t="s">
        <v>52</v>
      </c>
      <c r="C68" s="16">
        <v>30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50</v>
      </c>
      <c r="B69" s="16" t="s">
        <v>51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48</v>
      </c>
      <c r="B70" s="16" t="s">
        <v>50</v>
      </c>
      <c r="C70" s="16">
        <v>30</v>
      </c>
      <c r="D70" s="16" t="s">
        <v>42</v>
      </c>
      <c r="E70" s="16">
        <v>0</v>
      </c>
      <c r="F70" s="16">
        <v>1</v>
      </c>
      <c r="G70" s="16">
        <v>0</v>
      </c>
    </row>
    <row r="71" spans="1:7">
      <c r="A71" s="16" t="s">
        <v>47</v>
      </c>
      <c r="B71" s="16" t="s">
        <v>48</v>
      </c>
      <c r="C71" s="16">
        <v>31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46</v>
      </c>
      <c r="B72" s="16" t="s">
        <v>47</v>
      </c>
      <c r="C72" s="16">
        <v>28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45</v>
      </c>
      <c r="B73" s="16" t="s">
        <v>46</v>
      </c>
      <c r="C73" s="16">
        <v>31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44</v>
      </c>
      <c r="B74" s="16" t="s">
        <v>45</v>
      </c>
      <c r="C74" s="16">
        <v>31</v>
      </c>
      <c r="D74" s="16" t="s">
        <v>42</v>
      </c>
      <c r="E74" s="16">
        <v>0</v>
      </c>
      <c r="F74" s="16">
        <v>2</v>
      </c>
      <c r="G74" s="16">
        <v>2</v>
      </c>
    </row>
    <row r="75" spans="1:7">
      <c r="A75" s="16" t="s">
        <v>43</v>
      </c>
      <c r="B75" s="16" t="s">
        <v>44</v>
      </c>
      <c r="C75" s="16">
        <v>30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41</v>
      </c>
      <c r="B76" s="16" t="s">
        <v>43</v>
      </c>
      <c r="C76" s="16">
        <v>31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78</v>
      </c>
      <c r="B77" s="16" t="s">
        <v>41</v>
      </c>
      <c r="C77" s="16">
        <v>30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88</v>
      </c>
      <c r="B78" s="16" t="s">
        <v>78</v>
      </c>
      <c r="C78" s="16">
        <v>31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89</v>
      </c>
      <c r="B79" s="16" t="s">
        <v>88</v>
      </c>
      <c r="C79" s="16">
        <v>31</v>
      </c>
      <c r="D79" s="16" t="s">
        <v>42</v>
      </c>
      <c r="E79" s="16">
        <v>0</v>
      </c>
      <c r="F79" s="16">
        <v>0</v>
      </c>
      <c r="G79" s="16">
        <v>0</v>
      </c>
    </row>
    <row r="82" spans="1:7">
      <c r="A82" s="16" t="s">
        <v>79</v>
      </c>
    </row>
    <row r="84" spans="1:7">
      <c r="A84" s="16" t="s">
        <v>80</v>
      </c>
      <c r="B84" s="16" t="s">
        <v>81</v>
      </c>
      <c r="C84" s="16" t="s">
        <v>82</v>
      </c>
      <c r="D84" s="16" t="s">
        <v>83</v>
      </c>
    </row>
    <row r="85" spans="1:7">
      <c r="A85" s="16" t="s">
        <v>84</v>
      </c>
      <c r="B85" s="16">
        <v>15.000999999999999</v>
      </c>
      <c r="C85" s="16">
        <v>15.000999999999999</v>
      </c>
      <c r="D85" s="16">
        <v>15.000999999999999</v>
      </c>
    </row>
    <row r="86" spans="1:7">
      <c r="A86" s="16" t="s">
        <v>37</v>
      </c>
      <c r="B86" s="16" t="s">
        <v>38</v>
      </c>
      <c r="C86" s="16" t="s">
        <v>39</v>
      </c>
      <c r="D86" s="16" t="s">
        <v>40</v>
      </c>
      <c r="E86" s="16" t="s">
        <v>81</v>
      </c>
      <c r="F86" s="16" t="s">
        <v>82</v>
      </c>
      <c r="G86" s="16" t="s">
        <v>83</v>
      </c>
    </row>
    <row r="87" spans="1:7">
      <c r="A87" s="16" t="s">
        <v>75</v>
      </c>
      <c r="B87" s="16" t="s">
        <v>76</v>
      </c>
      <c r="C87" s="16">
        <v>31</v>
      </c>
      <c r="D87" s="16" t="s">
        <v>42</v>
      </c>
      <c r="E87" s="16">
        <v>0</v>
      </c>
      <c r="F87" s="16">
        <v>21.24</v>
      </c>
      <c r="G87" s="16">
        <v>20.09</v>
      </c>
    </row>
    <row r="88" spans="1:7">
      <c r="A88" s="16" t="s">
        <v>74</v>
      </c>
      <c r="B88" s="16" t="s">
        <v>75</v>
      </c>
      <c r="C88" s="16">
        <v>28</v>
      </c>
      <c r="D88" s="16" t="s">
        <v>42</v>
      </c>
      <c r="E88" s="16">
        <v>21.61</v>
      </c>
      <c r="F88" s="16">
        <v>20.91</v>
      </c>
      <c r="G88" s="16">
        <v>18.84</v>
      </c>
    </row>
    <row r="89" spans="1:7">
      <c r="A89" s="16" t="s">
        <v>73</v>
      </c>
      <c r="B89" s="16" t="s">
        <v>74</v>
      </c>
      <c r="C89" s="16">
        <v>31</v>
      </c>
      <c r="D89" s="16" t="s">
        <v>42</v>
      </c>
      <c r="E89" s="16">
        <v>22.69</v>
      </c>
      <c r="F89" s="16">
        <v>20.6</v>
      </c>
      <c r="G89" s="16">
        <v>19.91</v>
      </c>
    </row>
    <row r="90" spans="1:7">
      <c r="A90" s="16" t="s">
        <v>72</v>
      </c>
      <c r="B90" s="16" t="s">
        <v>73</v>
      </c>
      <c r="C90" s="16">
        <v>31</v>
      </c>
      <c r="D90" s="16" t="s">
        <v>42</v>
      </c>
      <c r="E90" s="16">
        <v>16.16</v>
      </c>
      <c r="F90" s="16">
        <v>15.59</v>
      </c>
      <c r="G90" s="16">
        <v>14.61</v>
      </c>
    </row>
    <row r="91" spans="1:7">
      <c r="A91" s="16" t="s">
        <v>71</v>
      </c>
      <c r="B91" s="16" t="s">
        <v>72</v>
      </c>
      <c r="C91" s="16">
        <v>30</v>
      </c>
      <c r="D91" s="16" t="s">
        <v>42</v>
      </c>
      <c r="E91" s="16">
        <v>0</v>
      </c>
      <c r="F91" s="16">
        <v>15.93</v>
      </c>
      <c r="G91" s="16">
        <v>14.32</v>
      </c>
    </row>
    <row r="92" spans="1:7">
      <c r="A92" s="16" t="s">
        <v>70</v>
      </c>
      <c r="B92" s="16" t="s">
        <v>71</v>
      </c>
      <c r="C92" s="16">
        <v>31</v>
      </c>
      <c r="D92" s="16" t="s">
        <v>42</v>
      </c>
      <c r="E92" s="16">
        <v>13.25</v>
      </c>
      <c r="F92" s="16">
        <v>10.28</v>
      </c>
      <c r="G92" s="16">
        <v>7.59</v>
      </c>
    </row>
    <row r="93" spans="1:7">
      <c r="A93" s="16" t="s">
        <v>69</v>
      </c>
      <c r="B93" s="16" t="s">
        <v>70</v>
      </c>
      <c r="C93" s="16">
        <v>30</v>
      </c>
      <c r="D93" s="16" t="s">
        <v>42</v>
      </c>
      <c r="E93" s="16">
        <v>5.87</v>
      </c>
      <c r="F93" s="16">
        <v>0</v>
      </c>
      <c r="G93" s="16">
        <v>7.16</v>
      </c>
    </row>
    <row r="94" spans="1:7">
      <c r="A94" s="16" t="s">
        <v>68</v>
      </c>
      <c r="B94" s="16" t="s">
        <v>69</v>
      </c>
      <c r="C94" s="16">
        <v>31</v>
      </c>
      <c r="D94" s="16" t="s">
        <v>42</v>
      </c>
      <c r="E94" s="16">
        <v>9.56</v>
      </c>
      <c r="F94" s="16">
        <v>0</v>
      </c>
      <c r="G94" s="16">
        <v>10.74</v>
      </c>
    </row>
    <row r="95" spans="1:7">
      <c r="A95" s="16" t="s">
        <v>67</v>
      </c>
      <c r="B95" s="16" t="s">
        <v>68</v>
      </c>
      <c r="C95" s="16">
        <v>31</v>
      </c>
      <c r="D95" s="16" t="s">
        <v>42</v>
      </c>
      <c r="E95" s="16">
        <v>10.93</v>
      </c>
      <c r="F95" s="16">
        <v>9.76</v>
      </c>
      <c r="G95" s="16">
        <v>8.14</v>
      </c>
    </row>
    <row r="96" spans="1:7">
      <c r="A96" s="16" t="s">
        <v>66</v>
      </c>
      <c r="B96" s="16" t="s">
        <v>67</v>
      </c>
      <c r="C96" s="16">
        <v>30</v>
      </c>
      <c r="D96" s="16" t="s">
        <v>42</v>
      </c>
      <c r="E96" s="16">
        <v>9.2799999999999994</v>
      </c>
      <c r="F96" s="16">
        <v>0</v>
      </c>
      <c r="G96" s="16">
        <v>10.02</v>
      </c>
    </row>
    <row r="97" spans="1:7">
      <c r="A97" s="16" t="s">
        <v>65</v>
      </c>
      <c r="B97" s="16" t="s">
        <v>66</v>
      </c>
      <c r="C97" s="16">
        <v>31</v>
      </c>
      <c r="D97" s="16" t="s">
        <v>42</v>
      </c>
      <c r="E97" s="16">
        <v>12.9</v>
      </c>
      <c r="F97" s="16">
        <v>12.28</v>
      </c>
      <c r="G97" s="16">
        <v>9.98</v>
      </c>
    </row>
    <row r="98" spans="1:7">
      <c r="A98" s="16" t="s">
        <v>63</v>
      </c>
      <c r="B98" s="16" t="s">
        <v>65</v>
      </c>
      <c r="C98" s="16">
        <v>30</v>
      </c>
      <c r="D98" s="16" t="s">
        <v>42</v>
      </c>
      <c r="E98" s="16">
        <v>22.03</v>
      </c>
      <c r="F98" s="16">
        <v>18.579999999999998</v>
      </c>
      <c r="G98" s="16">
        <v>15.14</v>
      </c>
    </row>
    <row r="99" spans="1:7">
      <c r="A99" s="16" t="s">
        <v>62</v>
      </c>
      <c r="B99" s="16" t="s">
        <v>63</v>
      </c>
      <c r="C99" s="16">
        <v>31</v>
      </c>
      <c r="D99" s="16" t="s">
        <v>42</v>
      </c>
      <c r="E99" s="16">
        <v>0</v>
      </c>
      <c r="F99" s="16">
        <v>17.899999999999999</v>
      </c>
      <c r="G99" s="16">
        <v>17.170000000000002</v>
      </c>
    </row>
    <row r="100" spans="1:7">
      <c r="A100" s="16" t="s">
        <v>61</v>
      </c>
      <c r="B100" s="16" t="s">
        <v>62</v>
      </c>
      <c r="C100" s="16">
        <v>28</v>
      </c>
      <c r="D100" s="16" t="s">
        <v>42</v>
      </c>
      <c r="E100" s="16">
        <v>17.54</v>
      </c>
      <c r="F100" s="16">
        <v>18.420000000000002</v>
      </c>
      <c r="G100" s="16">
        <v>13.26</v>
      </c>
    </row>
    <row r="101" spans="1:7">
      <c r="A101" s="16" t="s">
        <v>60</v>
      </c>
      <c r="B101" s="16" t="s">
        <v>61</v>
      </c>
      <c r="C101" s="16">
        <v>31</v>
      </c>
      <c r="D101" s="16" t="s">
        <v>42</v>
      </c>
      <c r="E101" s="16">
        <v>12.89</v>
      </c>
      <c r="F101" s="16">
        <v>12.8</v>
      </c>
      <c r="G101" s="16">
        <v>12.83</v>
      </c>
    </row>
    <row r="102" spans="1:7">
      <c r="A102" s="16" t="s">
        <v>259</v>
      </c>
      <c r="B102" s="16" t="s">
        <v>60</v>
      </c>
      <c r="C102" s="16">
        <v>22</v>
      </c>
      <c r="D102" s="16" t="s">
        <v>42</v>
      </c>
      <c r="E102" s="16">
        <v>19.739999999999998</v>
      </c>
      <c r="F102" s="16">
        <v>18.8</v>
      </c>
      <c r="G102" s="16">
        <v>8.9600000000000009</v>
      </c>
    </row>
    <row r="103" spans="1:7">
      <c r="A103" s="16" t="s">
        <v>115</v>
      </c>
      <c r="B103" s="16" t="s">
        <v>259</v>
      </c>
      <c r="C103" s="16">
        <v>6</v>
      </c>
      <c r="D103" s="16" t="s">
        <v>42</v>
      </c>
      <c r="E103" s="16">
        <v>0</v>
      </c>
      <c r="F103" s="16">
        <v>0</v>
      </c>
      <c r="G103" s="16">
        <v>0</v>
      </c>
    </row>
    <row r="104" spans="1:7">
      <c r="A104" s="16" t="s">
        <v>57</v>
      </c>
      <c r="B104" s="16" t="s">
        <v>115</v>
      </c>
      <c r="C104" s="16">
        <v>33</v>
      </c>
      <c r="D104" s="16" t="s">
        <v>42</v>
      </c>
      <c r="E104" s="16">
        <v>0</v>
      </c>
      <c r="F104" s="16">
        <v>20.92</v>
      </c>
      <c r="G104" s="16">
        <v>17.739999999999998</v>
      </c>
    </row>
    <row r="105" spans="1:7">
      <c r="A105" s="16" t="s">
        <v>55</v>
      </c>
      <c r="B105" s="16" t="s">
        <v>57</v>
      </c>
      <c r="C105" s="16">
        <v>31</v>
      </c>
      <c r="D105" s="16" t="s">
        <v>42</v>
      </c>
      <c r="E105" s="16">
        <v>14.7</v>
      </c>
      <c r="F105" s="16">
        <v>13.41</v>
      </c>
      <c r="G105" s="16">
        <v>5.08</v>
      </c>
    </row>
    <row r="106" spans="1:7">
      <c r="A106" s="16" t="s">
        <v>54</v>
      </c>
      <c r="B106" s="16" t="s">
        <v>55</v>
      </c>
      <c r="C106" s="16">
        <v>30</v>
      </c>
      <c r="D106" s="16" t="s">
        <v>42</v>
      </c>
      <c r="E106" s="16">
        <v>6.25</v>
      </c>
      <c r="F106" s="16">
        <v>0</v>
      </c>
      <c r="G106" s="16">
        <v>6.78</v>
      </c>
    </row>
    <row r="107" spans="1:7">
      <c r="A107" s="16" t="s">
        <v>53</v>
      </c>
      <c r="B107" s="16" t="s">
        <v>54</v>
      </c>
      <c r="C107" s="16">
        <v>31</v>
      </c>
      <c r="D107" s="16" t="s">
        <v>42</v>
      </c>
      <c r="E107" s="16">
        <v>8.83</v>
      </c>
      <c r="F107" s="16">
        <v>0</v>
      </c>
      <c r="G107" s="16">
        <v>8.27</v>
      </c>
    </row>
    <row r="108" spans="1:7">
      <c r="A108" s="16" t="s">
        <v>52</v>
      </c>
      <c r="B108" s="16" t="s">
        <v>53</v>
      </c>
      <c r="C108" s="16">
        <v>31</v>
      </c>
      <c r="D108" s="16" t="s">
        <v>42</v>
      </c>
      <c r="E108" s="16">
        <v>8.42</v>
      </c>
      <c r="F108" s="16">
        <v>7.82</v>
      </c>
      <c r="G108" s="16">
        <v>2.61</v>
      </c>
    </row>
    <row r="109" spans="1:7">
      <c r="A109" s="16" t="s">
        <v>51</v>
      </c>
      <c r="B109" s="16" t="s">
        <v>52</v>
      </c>
      <c r="C109" s="16">
        <v>30</v>
      </c>
      <c r="D109" s="16" t="s">
        <v>42</v>
      </c>
      <c r="E109" s="16">
        <v>6.77</v>
      </c>
      <c r="F109" s="16">
        <v>0</v>
      </c>
      <c r="G109" s="16">
        <v>8.07</v>
      </c>
    </row>
    <row r="110" spans="1:7">
      <c r="A110" s="16" t="s">
        <v>50</v>
      </c>
      <c r="B110" s="16" t="s">
        <v>51</v>
      </c>
      <c r="C110" s="16">
        <v>31</v>
      </c>
      <c r="D110" s="16" t="s">
        <v>42</v>
      </c>
      <c r="E110" s="16">
        <v>13.52</v>
      </c>
      <c r="F110" s="16">
        <v>18.12</v>
      </c>
      <c r="G110" s="16">
        <v>2.94</v>
      </c>
    </row>
    <row r="111" spans="1:7">
      <c r="A111" s="16" t="s">
        <v>48</v>
      </c>
      <c r="B111" s="16" t="s">
        <v>50</v>
      </c>
      <c r="C111" s="16">
        <v>30</v>
      </c>
      <c r="D111" s="16" t="s">
        <v>42</v>
      </c>
      <c r="E111" s="16">
        <v>14.97</v>
      </c>
      <c r="F111" s="16">
        <v>15.32</v>
      </c>
      <c r="G111" s="16">
        <v>4.16</v>
      </c>
    </row>
    <row r="112" spans="1:7">
      <c r="A112" s="16" t="s">
        <v>47</v>
      </c>
      <c r="B112" s="16" t="s">
        <v>48</v>
      </c>
      <c r="C112" s="16">
        <v>31</v>
      </c>
      <c r="D112" s="16" t="s">
        <v>42</v>
      </c>
      <c r="E112" s="16">
        <v>5.92</v>
      </c>
      <c r="F112" s="16">
        <v>15.82</v>
      </c>
      <c r="G112" s="16">
        <v>3.58</v>
      </c>
    </row>
    <row r="113" spans="1:7">
      <c r="A113" s="16" t="s">
        <v>46</v>
      </c>
      <c r="B113" s="16" t="s">
        <v>47</v>
      </c>
      <c r="C113" s="16">
        <v>28</v>
      </c>
      <c r="D113" s="16" t="s">
        <v>42</v>
      </c>
      <c r="E113" s="16">
        <v>8.35</v>
      </c>
      <c r="F113" s="16">
        <v>13.47</v>
      </c>
      <c r="G113" s="16">
        <v>8.58</v>
      </c>
    </row>
    <row r="114" spans="1:7">
      <c r="A114" s="16" t="s">
        <v>45</v>
      </c>
      <c r="B114" s="16" t="s">
        <v>46</v>
      </c>
      <c r="C114" s="16">
        <v>31</v>
      </c>
      <c r="D114" s="16" t="s">
        <v>42</v>
      </c>
      <c r="E114" s="16">
        <v>6.46</v>
      </c>
      <c r="F114" s="16">
        <v>17.079999999999998</v>
      </c>
      <c r="G114" s="16">
        <v>4.46</v>
      </c>
    </row>
    <row r="115" spans="1:7">
      <c r="A115" s="16" t="s">
        <v>44</v>
      </c>
      <c r="B115" s="16" t="s">
        <v>45</v>
      </c>
      <c r="C115" s="16">
        <v>31</v>
      </c>
      <c r="D115" s="16" t="s">
        <v>42</v>
      </c>
      <c r="E115" s="16">
        <v>7.8</v>
      </c>
      <c r="F115" s="16">
        <v>13.75</v>
      </c>
      <c r="G115" s="16">
        <v>8.26</v>
      </c>
    </row>
    <row r="116" spans="1:7">
      <c r="A116" s="16" t="s">
        <v>43</v>
      </c>
      <c r="B116" s="16" t="s">
        <v>44</v>
      </c>
      <c r="C116" s="16">
        <v>30</v>
      </c>
      <c r="D116" s="16" t="s">
        <v>42</v>
      </c>
      <c r="E116" s="16">
        <v>2.16</v>
      </c>
      <c r="F116" s="16">
        <v>13.32</v>
      </c>
      <c r="G116" s="16">
        <v>2.95</v>
      </c>
    </row>
    <row r="117" spans="1:7">
      <c r="A117" s="16" t="s">
        <v>41</v>
      </c>
      <c r="B117" s="16" t="s">
        <v>43</v>
      </c>
      <c r="C117" s="16">
        <v>31</v>
      </c>
      <c r="D117" s="16" t="s">
        <v>42</v>
      </c>
      <c r="E117" s="16">
        <v>12.92</v>
      </c>
      <c r="F117" s="16">
        <v>12.33</v>
      </c>
      <c r="G117" s="16">
        <v>2.2599999999999998</v>
      </c>
    </row>
    <row r="118" spans="1:7">
      <c r="A118" s="16" t="s">
        <v>78</v>
      </c>
      <c r="B118" s="16" t="s">
        <v>41</v>
      </c>
      <c r="C118" s="16">
        <v>30</v>
      </c>
      <c r="D118" s="16" t="s">
        <v>42</v>
      </c>
      <c r="E118" s="16">
        <v>7.2</v>
      </c>
      <c r="F118" s="16">
        <v>5.31</v>
      </c>
      <c r="G118" s="16">
        <v>4.68</v>
      </c>
    </row>
    <row r="119" spans="1:7">
      <c r="A119" s="16" t="s">
        <v>88</v>
      </c>
      <c r="B119" s="16" t="s">
        <v>78</v>
      </c>
      <c r="C119" s="16">
        <v>31</v>
      </c>
      <c r="D119" s="16" t="s">
        <v>42</v>
      </c>
      <c r="E119" s="16">
        <v>8.8000000000000007</v>
      </c>
      <c r="F119" s="16">
        <v>7.91</v>
      </c>
      <c r="G119" s="16">
        <v>2.15</v>
      </c>
    </row>
    <row r="120" spans="1:7">
      <c r="A120" s="16" t="s">
        <v>89</v>
      </c>
      <c r="B120" s="16" t="s">
        <v>88</v>
      </c>
      <c r="C120" s="16">
        <v>31</v>
      </c>
      <c r="D120" s="16" t="s">
        <v>42</v>
      </c>
      <c r="E120" s="16">
        <v>9.51</v>
      </c>
      <c r="F120" s="16">
        <v>8.14</v>
      </c>
      <c r="G120" s="16">
        <v>5.88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56F27-77C2-4E7E-9FE7-31C9E36E5C47}">
  <dimension ref="A1:N123"/>
  <sheetViews>
    <sheetView topLeftCell="A5" workbookViewId="0">
      <selection activeCell="H7" sqref="H7:N7"/>
    </sheetView>
  </sheetViews>
  <sheetFormatPr baseColWidth="10" defaultColWidth="8.6640625" defaultRowHeight="14.4"/>
  <cols>
    <col min="1" max="1" width="13.44140625" style="16" customWidth="1"/>
    <col min="2" max="2" width="12.33203125" style="16" customWidth="1"/>
    <col min="3" max="16384" width="8.6640625" style="16"/>
  </cols>
  <sheetData>
    <row r="1" spans="1:14">
      <c r="A1" s="16" t="s">
        <v>30</v>
      </c>
    </row>
    <row r="3" spans="1:14">
      <c r="A3" s="16" t="s">
        <v>260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3148</v>
      </c>
      <c r="C4" s="16">
        <v>1664</v>
      </c>
      <c r="D4" s="16">
        <v>3318</v>
      </c>
    </row>
    <row r="5" spans="1:14">
      <c r="A5" s="16" t="s">
        <v>36</v>
      </c>
      <c r="B5" s="16">
        <v>38</v>
      </c>
      <c r="C5" s="16">
        <v>21</v>
      </c>
      <c r="D5" s="16">
        <v>41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44012</v>
      </c>
      <c r="B7" s="16" t="s">
        <v>88</v>
      </c>
      <c r="C7" s="16">
        <v>31</v>
      </c>
      <c r="D7" s="16" t="s">
        <v>42</v>
      </c>
      <c r="E7" s="16">
        <v>390</v>
      </c>
      <c r="F7" s="16">
        <v>575</v>
      </c>
      <c r="G7" s="16">
        <v>112</v>
      </c>
      <c r="H7" s="16">
        <f>Tabla19[[#This Row],[P1 + P4]]*VLOOKUP(MONTH(Tabla19[[#This Row],[Fecha final]]),Tabla20[#All],2,FALSE)</f>
        <v>390</v>
      </c>
      <c r="I7" s="16">
        <f>Tabla19[[#This Row],[P2 + P5]]*VLOOKUP(MONTH(Tabla19[[#This Row],[Fecha final]]),Tabla20[#All],3,FALSE)</f>
        <v>575</v>
      </c>
      <c r="J7" s="16">
        <f>(Tabla19[[#This Row],[P3 + P6]])*VLOOKUP(MONTH(Tabla19[[#This Row],[Fecha final]]),Tabla20[#All],4,FALSE)</f>
        <v>0</v>
      </c>
      <c r="K7" s="16">
        <f>Tabla19[[#This Row],[P1 + P4]]*VLOOKUP(MONTH(Tabla19[[#This Row],[Fecha final]]),Tabla20[#All],5,FALSE)</f>
        <v>0</v>
      </c>
      <c r="L7" s="16">
        <f>Tabla19[[#This Row],[P2 + P5]]*VLOOKUP(MONTH(Tabla19[[#This Row],[Fecha final]]),Tabla20[#All],6,FALSE)</f>
        <v>0</v>
      </c>
      <c r="M7" s="16">
        <f>Tabla19[[#This Row],[P3 + P6]]*VLOOKUP(MONTH(Tabla19[[#This Row],[Fecha final]]),Tabla20[#All],7,FALSE)</f>
        <v>112</v>
      </c>
      <c r="N7" s="16">
        <f>YEAR(Tabla19[[#This Row],[Fecha final]])</f>
        <v>2020</v>
      </c>
    </row>
    <row r="8" spans="1:14">
      <c r="A8" s="17">
        <v>44043</v>
      </c>
      <c r="B8" s="16" t="s">
        <v>78</v>
      </c>
      <c r="C8" s="16">
        <v>31</v>
      </c>
      <c r="D8" s="16" t="s">
        <v>42</v>
      </c>
      <c r="E8" s="16">
        <v>317</v>
      </c>
      <c r="F8" s="16">
        <v>396</v>
      </c>
      <c r="G8" s="16">
        <v>116</v>
      </c>
      <c r="H8" s="16">
        <f>Tabla19[[#This Row],[P1 + P4]]*VLOOKUP(MONTH(Tabla19[[#This Row],[Fecha final]]),Tabla20[#All],2,FALSE)</f>
        <v>0</v>
      </c>
      <c r="I8" s="16">
        <f>Tabla19[[#This Row],[P2 + P5]]*VLOOKUP(MONTH(Tabla19[[#This Row],[Fecha final]]),Tabla20[#All],3,FALSE)</f>
        <v>0</v>
      </c>
      <c r="J8" s="16">
        <f>(Tabla19[[#This Row],[P3 + P6]])*VLOOKUP(MONTH(Tabla19[[#This Row],[Fecha final]]),Tabla20[#All],4,FALSE)</f>
        <v>38.929600000000001</v>
      </c>
      <c r="K8" s="16">
        <f>Tabla19[[#This Row],[P1 + P4]]*VLOOKUP(MONTH(Tabla19[[#This Row],[Fecha final]]),Tabla20[#All],5,FALSE)</f>
        <v>317</v>
      </c>
      <c r="L8" s="16">
        <f>Tabla19[[#This Row],[P2 + P5]]*VLOOKUP(MONTH(Tabla19[[#This Row],[Fecha final]]),Tabla20[#All],6,FALSE)</f>
        <v>0</v>
      </c>
      <c r="M8" s="16">
        <f>Tabla19[[#This Row],[P3 + P6]]*VLOOKUP(MONTH(Tabla19[[#This Row],[Fecha final]]),Tabla20[#All],7,FALSE)</f>
        <v>77.070399999999992</v>
      </c>
      <c r="N8" s="16">
        <f>YEAR(Tabla19[[#This Row],[Fecha final]])</f>
        <v>2020</v>
      </c>
    </row>
    <row r="9" spans="1:14">
      <c r="A9" s="17">
        <v>44074</v>
      </c>
      <c r="B9" s="16" t="s">
        <v>41</v>
      </c>
      <c r="C9" s="16">
        <v>30</v>
      </c>
      <c r="D9" s="16" t="s">
        <v>42</v>
      </c>
      <c r="E9" s="16">
        <v>249</v>
      </c>
      <c r="F9" s="16">
        <v>372</v>
      </c>
      <c r="G9" s="16">
        <v>107</v>
      </c>
      <c r="H9" s="16">
        <f>Tabla19[[#This Row],[P1 + P4]]*VLOOKUP(MONTH(Tabla19[[#This Row],[Fecha final]]),Tabla20[#All],2,FALSE)</f>
        <v>0</v>
      </c>
      <c r="I9" s="16">
        <f>Tabla19[[#This Row],[P2 + P5]]*VLOOKUP(MONTH(Tabla19[[#This Row],[Fecha final]]),Tabla20[#All],3,FALSE)</f>
        <v>0</v>
      </c>
      <c r="J9" s="16">
        <f>(Tabla19[[#This Row],[P3 + P6]])*VLOOKUP(MONTH(Tabla19[[#This Row],[Fecha final]]),Tabla20[#All],4,FALSE)</f>
        <v>37.428600000000003</v>
      </c>
      <c r="K9" s="16">
        <f>Tabla19[[#This Row],[P1 + P4]]*VLOOKUP(MONTH(Tabla19[[#This Row],[Fecha final]]),Tabla20[#All],5,FALSE)</f>
        <v>249</v>
      </c>
      <c r="L9" s="16">
        <f>Tabla19[[#This Row],[P2 + P5]]*VLOOKUP(MONTH(Tabla19[[#This Row],[Fecha final]]),Tabla20[#All],6,FALSE)</f>
        <v>0</v>
      </c>
      <c r="M9" s="16">
        <f>Tabla19[[#This Row],[P3 + P6]]*VLOOKUP(MONTH(Tabla19[[#This Row],[Fecha final]]),Tabla20[#All],7,FALSE)</f>
        <v>69.571399999999997</v>
      </c>
      <c r="N9" s="16">
        <f>YEAR(Tabla19[[#This Row],[Fecha final]])</f>
        <v>2020</v>
      </c>
    </row>
    <row r="10" spans="1:14">
      <c r="A10" s="17">
        <v>44104</v>
      </c>
      <c r="B10" s="16" t="s">
        <v>43</v>
      </c>
      <c r="C10" s="16">
        <v>31</v>
      </c>
      <c r="D10" s="16" t="s">
        <v>42</v>
      </c>
      <c r="E10" s="16">
        <v>138</v>
      </c>
      <c r="F10" s="16">
        <v>317</v>
      </c>
      <c r="G10" s="16">
        <v>104</v>
      </c>
      <c r="H10" s="16">
        <f>Tabla19[[#This Row],[P1 + P4]]*VLOOKUP(MONTH(Tabla19[[#This Row],[Fecha final]]),Tabla20[#All],2,FALSE)</f>
        <v>0</v>
      </c>
      <c r="I10" s="16">
        <f>Tabla19[[#This Row],[P2 + P5]]*VLOOKUP(MONTH(Tabla19[[#This Row],[Fecha final]]),Tabla20[#All],3,FALSE)</f>
        <v>0</v>
      </c>
      <c r="J10" s="16">
        <f>(Tabla19[[#This Row],[P3 + P6]])*VLOOKUP(MONTH(Tabla19[[#This Row],[Fecha final]]),Tabla20[#All],4,FALSE)</f>
        <v>0</v>
      </c>
      <c r="K10" s="16">
        <f>Tabla19[[#This Row],[P1 + P4]]*VLOOKUP(MONTH(Tabla19[[#This Row],[Fecha final]]),Tabla20[#All],5,FALSE)</f>
        <v>138</v>
      </c>
      <c r="L10" s="16">
        <f>Tabla19[[#This Row],[P2 + P5]]*VLOOKUP(MONTH(Tabla19[[#This Row],[Fecha final]]),Tabla20[#All],6,FALSE)</f>
        <v>317</v>
      </c>
      <c r="M10" s="16">
        <f>Tabla19[[#This Row],[P3 + P6]]*VLOOKUP(MONTH(Tabla19[[#This Row],[Fecha final]]),Tabla20[#All],7,FALSE)</f>
        <v>104</v>
      </c>
      <c r="N10" s="16">
        <f>YEAR(Tabla19[[#This Row],[Fecha final]])</f>
        <v>2020</v>
      </c>
    </row>
    <row r="11" spans="1:14">
      <c r="A11" s="17">
        <v>44135</v>
      </c>
      <c r="B11" s="16" t="s">
        <v>263</v>
      </c>
      <c r="C11" s="16">
        <v>31</v>
      </c>
      <c r="D11" s="16" t="s">
        <v>42</v>
      </c>
      <c r="E11" s="16">
        <v>16</v>
      </c>
      <c r="F11" s="16">
        <v>173</v>
      </c>
      <c r="G11" s="16">
        <v>34</v>
      </c>
      <c r="H11" s="16">
        <f>Tabla19[[#This Row],[P1 + P4]]*VLOOKUP(MONTH(Tabla19[[#This Row],[Fecha final]]),Tabla20[#All],2,FALSE)</f>
        <v>16</v>
      </c>
      <c r="I11" s="16">
        <f>Tabla19[[#This Row],[P2 + P5]]*VLOOKUP(MONTH(Tabla19[[#This Row],[Fecha final]]),Tabla20[#All],3,FALSE)</f>
        <v>173</v>
      </c>
      <c r="J11" s="16">
        <f>(Tabla19[[#This Row],[P3 + P6]])*VLOOKUP(MONTH(Tabla19[[#This Row],[Fecha final]]),Tabla20[#All],4,FALSE)</f>
        <v>0</v>
      </c>
      <c r="K11" s="16">
        <f>Tabla19[[#This Row],[P1 + P4]]*VLOOKUP(MONTH(Tabla19[[#This Row],[Fecha final]]),Tabla20[#All],5,FALSE)</f>
        <v>0</v>
      </c>
      <c r="L11" s="16">
        <f>Tabla19[[#This Row],[P2 + P5]]*VLOOKUP(MONTH(Tabla19[[#This Row],[Fecha final]]),Tabla20[#All],6,FALSE)</f>
        <v>0</v>
      </c>
      <c r="M11" s="16">
        <f>Tabla19[[#This Row],[P3 + P6]]*VLOOKUP(MONTH(Tabla19[[#This Row],[Fecha final]]),Tabla20[#All],7,FALSE)</f>
        <v>34</v>
      </c>
      <c r="N11" s="16">
        <f>YEAR(Tabla19[[#This Row],[Fecha final]])</f>
        <v>2020</v>
      </c>
    </row>
    <row r="12" spans="1:14">
      <c r="A12" s="17">
        <v>44166</v>
      </c>
      <c r="B12" s="16" t="s">
        <v>262</v>
      </c>
      <c r="C12" s="16">
        <v>34</v>
      </c>
      <c r="D12" s="16" t="s">
        <v>42</v>
      </c>
      <c r="E12" s="16">
        <v>19</v>
      </c>
      <c r="F12" s="16">
        <v>190</v>
      </c>
      <c r="G12" s="16">
        <v>38</v>
      </c>
      <c r="H12" s="16">
        <f>Tabla19[[#This Row],[P1 + P4]]*VLOOKUP(MONTH(Tabla19[[#This Row],[Fecha final]]),Tabla20[#All],2,FALSE)</f>
        <v>19</v>
      </c>
      <c r="I12" s="16">
        <f>Tabla19[[#This Row],[P2 + P5]]*VLOOKUP(MONTH(Tabla19[[#This Row],[Fecha final]]),Tabla20[#All],3,FALSE)</f>
        <v>190</v>
      </c>
      <c r="J12" s="16">
        <f>(Tabla19[[#This Row],[P3 + P6]])*VLOOKUP(MONTH(Tabla19[[#This Row],[Fecha final]]),Tabla20[#All],4,FALSE)</f>
        <v>0</v>
      </c>
      <c r="K12" s="16">
        <f>Tabla19[[#This Row],[P1 + P4]]*VLOOKUP(MONTH(Tabla19[[#This Row],[Fecha final]]),Tabla20[#All],5,FALSE)</f>
        <v>0</v>
      </c>
      <c r="L12" s="16">
        <f>Tabla19[[#This Row],[P2 + P5]]*VLOOKUP(MONTH(Tabla19[[#This Row],[Fecha final]]),Tabla20[#All],6,FALSE)</f>
        <v>0</v>
      </c>
      <c r="M12" s="16">
        <f>Tabla19[[#This Row],[P3 + P6]]*VLOOKUP(MONTH(Tabla19[[#This Row],[Fecha final]]),Tabla20[#All],7,FALSE)</f>
        <v>38</v>
      </c>
      <c r="N12" s="16">
        <f>YEAR(Tabla19[[#This Row],[Fecha final]])</f>
        <v>2021</v>
      </c>
    </row>
    <row r="13" spans="1:14">
      <c r="A13" s="17">
        <v>44200</v>
      </c>
      <c r="B13" s="16" t="s">
        <v>46</v>
      </c>
      <c r="C13" s="16">
        <v>27</v>
      </c>
      <c r="D13" s="16" t="s">
        <v>42</v>
      </c>
      <c r="E13" s="16">
        <v>14</v>
      </c>
      <c r="F13" s="16">
        <v>150</v>
      </c>
      <c r="G13" s="16">
        <v>30</v>
      </c>
      <c r="H13" s="16">
        <f>Tabla19[[#This Row],[P1 + P4]]*VLOOKUP(MONTH(Tabla19[[#This Row],[Fecha final]]),Tabla20[#All],2,FALSE)</f>
        <v>14</v>
      </c>
      <c r="I13" s="16">
        <f>Tabla19[[#This Row],[P2 + P5]]*VLOOKUP(MONTH(Tabla19[[#This Row],[Fecha final]]),Tabla20[#All],3,FALSE)</f>
        <v>150</v>
      </c>
      <c r="J13" s="16">
        <f>(Tabla19[[#This Row],[P3 + P6]])*VLOOKUP(MONTH(Tabla19[[#This Row],[Fecha final]]),Tabla20[#All],4,FALSE)</f>
        <v>0</v>
      </c>
      <c r="K13" s="16">
        <f>Tabla19[[#This Row],[P1 + P4]]*VLOOKUP(MONTH(Tabla19[[#This Row],[Fecha final]]),Tabla20[#All],5,FALSE)</f>
        <v>0</v>
      </c>
      <c r="L13" s="16">
        <f>Tabla19[[#This Row],[P2 + P5]]*VLOOKUP(MONTH(Tabla19[[#This Row],[Fecha final]]),Tabla20[#All],6,FALSE)</f>
        <v>0</v>
      </c>
      <c r="M13" s="16">
        <f>Tabla19[[#This Row],[P3 + P6]]*VLOOKUP(MONTH(Tabla19[[#This Row],[Fecha final]]),Tabla20[#All],7,FALSE)</f>
        <v>30</v>
      </c>
      <c r="N13" s="16">
        <f>YEAR(Tabla19[[#This Row],[Fecha final]])</f>
        <v>2021</v>
      </c>
    </row>
    <row r="14" spans="1:14">
      <c r="A14" s="17">
        <v>44227</v>
      </c>
      <c r="B14" s="16" t="s">
        <v>47</v>
      </c>
      <c r="C14" s="16">
        <v>28</v>
      </c>
      <c r="D14" s="16" t="s">
        <v>42</v>
      </c>
      <c r="E14" s="16">
        <v>46</v>
      </c>
      <c r="F14" s="16">
        <v>770</v>
      </c>
      <c r="G14" s="16">
        <v>109</v>
      </c>
      <c r="H14" s="16">
        <f>Tabla19[[#This Row],[P1 + P4]]*VLOOKUP(MONTH(Tabla19[[#This Row],[Fecha final]]),Tabla20[#All],2,FALSE)</f>
        <v>46</v>
      </c>
      <c r="I14" s="16">
        <f>Tabla19[[#This Row],[P2 + P5]]*VLOOKUP(MONTH(Tabla19[[#This Row],[Fecha final]]),Tabla20[#All],3,FALSE)</f>
        <v>770</v>
      </c>
      <c r="J14" s="16">
        <f>(Tabla19[[#This Row],[P3 + P6]])*VLOOKUP(MONTH(Tabla19[[#This Row],[Fecha final]]),Tabla20[#All],4,FALSE)</f>
        <v>0</v>
      </c>
      <c r="K14" s="16">
        <f>Tabla19[[#This Row],[P1 + P4]]*VLOOKUP(MONTH(Tabla19[[#This Row],[Fecha final]]),Tabla20[#All],5,FALSE)</f>
        <v>0</v>
      </c>
      <c r="L14" s="16">
        <f>Tabla19[[#This Row],[P2 + P5]]*VLOOKUP(MONTH(Tabla19[[#This Row],[Fecha final]]),Tabla20[#All],6,FALSE)</f>
        <v>0</v>
      </c>
      <c r="M14" s="16">
        <f>Tabla19[[#This Row],[P3 + P6]]*VLOOKUP(MONTH(Tabla19[[#This Row],[Fecha final]]),Tabla20[#All],7,FALSE)</f>
        <v>109</v>
      </c>
      <c r="N14" s="16">
        <f>YEAR(Tabla19[[#This Row],[Fecha final]])</f>
        <v>2021</v>
      </c>
    </row>
    <row r="15" spans="1:14">
      <c r="A15" s="17">
        <v>44255</v>
      </c>
      <c r="B15" s="16" t="s">
        <v>48</v>
      </c>
      <c r="C15" s="16">
        <v>31</v>
      </c>
      <c r="D15" s="16" t="s">
        <v>42</v>
      </c>
      <c r="E15" s="16">
        <v>67</v>
      </c>
      <c r="F15" s="16">
        <v>542</v>
      </c>
      <c r="G15" s="16">
        <v>119</v>
      </c>
      <c r="H15" s="16">
        <f>Tabla19[[#This Row],[P1 + P4]]*VLOOKUP(MONTH(Tabla19[[#This Row],[Fecha final]]),Tabla20[#All],2,FALSE)</f>
        <v>0</v>
      </c>
      <c r="I15" s="16">
        <f>Tabla19[[#This Row],[P2 + P5]]*VLOOKUP(MONTH(Tabla19[[#This Row],[Fecha final]]),Tabla20[#All],3,FALSE)</f>
        <v>542</v>
      </c>
      <c r="J15" s="16">
        <f>(Tabla19[[#This Row],[P3 + P6]])*VLOOKUP(MONTH(Tabla19[[#This Row],[Fecha final]]),Tabla20[#All],4,FALSE)</f>
        <v>35.676200000000001</v>
      </c>
      <c r="K15" s="16">
        <f>Tabla19[[#This Row],[P1 + P4]]*VLOOKUP(MONTH(Tabla19[[#This Row],[Fecha final]]),Tabla20[#All],5,FALSE)</f>
        <v>0</v>
      </c>
      <c r="L15" s="16">
        <f>Tabla19[[#This Row],[P2 + P5]]*VLOOKUP(MONTH(Tabla19[[#This Row],[Fecha final]]),Tabla20[#All],6,FALSE)</f>
        <v>0</v>
      </c>
      <c r="M15" s="16">
        <f>Tabla19[[#This Row],[P3 + P6]]*VLOOKUP(MONTH(Tabla19[[#This Row],[Fecha final]]),Tabla20[#All],7,FALSE)</f>
        <v>83.323800000000006</v>
      </c>
      <c r="N15" s="16">
        <f>YEAR(Tabla19[[#This Row],[Fecha final]])</f>
        <v>2021</v>
      </c>
    </row>
    <row r="16" spans="1:14">
      <c r="A16" s="17">
        <v>44286</v>
      </c>
      <c r="B16" s="16" t="s">
        <v>50</v>
      </c>
      <c r="C16" s="16">
        <v>30</v>
      </c>
      <c r="D16" s="16" t="s">
        <v>42</v>
      </c>
      <c r="E16" s="16">
        <v>165</v>
      </c>
      <c r="F16" s="16">
        <v>314</v>
      </c>
      <c r="G16" s="16">
        <v>109</v>
      </c>
      <c r="H16" s="16">
        <f>Tabla19[[#This Row],[P1 + P4]]*VLOOKUP(MONTH(Tabla19[[#This Row],[Fecha final]]),Tabla20[#All],2,FALSE)</f>
        <v>0</v>
      </c>
      <c r="I16" s="16">
        <f>Tabla19[[#This Row],[P2 + P5]]*VLOOKUP(MONTH(Tabla19[[#This Row],[Fecha final]]),Tabla20[#All],3,FALSE)</f>
        <v>0</v>
      </c>
      <c r="J16" s="16">
        <f>(Tabla19[[#This Row],[P3 + P6]])*VLOOKUP(MONTH(Tabla19[[#This Row],[Fecha final]]),Tabla20[#All],4,FALSE)</f>
        <v>0</v>
      </c>
      <c r="K16" s="16">
        <f>Tabla19[[#This Row],[P1 + P4]]*VLOOKUP(MONTH(Tabla19[[#This Row],[Fecha final]]),Tabla20[#All],5,FALSE)</f>
        <v>165</v>
      </c>
      <c r="L16" s="16">
        <f>Tabla19[[#This Row],[P2 + P5]]*VLOOKUP(MONTH(Tabla19[[#This Row],[Fecha final]]),Tabla20[#All],6,FALSE)</f>
        <v>314</v>
      </c>
      <c r="M16" s="16">
        <f>Tabla19[[#This Row],[P3 + P6]]*VLOOKUP(MONTH(Tabla19[[#This Row],[Fecha final]]),Tabla20[#All],7,FALSE)</f>
        <v>109</v>
      </c>
      <c r="N16" s="16">
        <f>YEAR(Tabla19[[#This Row],[Fecha final]])</f>
        <v>2021</v>
      </c>
    </row>
    <row r="17" spans="1:14">
      <c r="A17" s="17">
        <v>44316</v>
      </c>
      <c r="B17" s="16" t="s">
        <v>51</v>
      </c>
      <c r="C17" s="16">
        <v>31</v>
      </c>
      <c r="D17" s="16" t="s">
        <v>42</v>
      </c>
      <c r="E17" s="16">
        <v>143</v>
      </c>
      <c r="F17" s="16">
        <v>350</v>
      </c>
      <c r="G17" s="16">
        <v>153</v>
      </c>
      <c r="H17" s="16">
        <f>Tabla19[[#This Row],[P1 + P4]]*VLOOKUP(MONTH(Tabla19[[#This Row],[Fecha final]]),Tabla20[#All],2,FALSE)</f>
        <v>0</v>
      </c>
      <c r="I17" s="16">
        <f>Tabla19[[#This Row],[P2 + P5]]*VLOOKUP(MONTH(Tabla19[[#This Row],[Fecha final]]),Tabla20[#All],3,FALSE)</f>
        <v>0</v>
      </c>
      <c r="J17" s="16">
        <f>(Tabla19[[#This Row],[P3 + P6]])*VLOOKUP(MONTH(Tabla19[[#This Row],[Fecha final]]),Tabla20[#All],4,FALSE)</f>
        <v>0</v>
      </c>
      <c r="K17" s="16">
        <f>Tabla19[[#This Row],[P1 + P4]]*VLOOKUP(MONTH(Tabla19[[#This Row],[Fecha final]]),Tabla20[#All],5,FALSE)</f>
        <v>143</v>
      </c>
      <c r="L17" s="16">
        <f>Tabla19[[#This Row],[P2 + P5]]*VLOOKUP(MONTH(Tabla19[[#This Row],[Fecha final]]),Tabla20[#All],6,FALSE)</f>
        <v>350</v>
      </c>
      <c r="M17" s="16">
        <f>Tabla19[[#This Row],[P3 + P6]]*VLOOKUP(MONTH(Tabla19[[#This Row],[Fecha final]]),Tabla20[#All],7,FALSE)</f>
        <v>153</v>
      </c>
      <c r="N17" s="16">
        <f>YEAR(Tabla19[[#This Row],[Fecha final]])</f>
        <v>2021</v>
      </c>
    </row>
    <row r="18" spans="1:14">
      <c r="A18" s="17">
        <v>44347</v>
      </c>
      <c r="B18" s="16" t="s">
        <v>52</v>
      </c>
      <c r="C18" s="16">
        <v>30</v>
      </c>
      <c r="D18" s="16" t="s">
        <v>42</v>
      </c>
      <c r="E18" s="16">
        <v>152</v>
      </c>
      <c r="F18" s="16">
        <v>0</v>
      </c>
      <c r="G18" s="16">
        <v>481</v>
      </c>
      <c r="H18" s="16">
        <f>Tabla19[[#This Row],[P1 + P4]]*VLOOKUP(MONTH(Tabla19[[#This Row],[Fecha final]]),Tabla20[#All],2,FALSE)</f>
        <v>0</v>
      </c>
      <c r="I18" s="16">
        <f>Tabla19[[#This Row],[P2 + P5]]*VLOOKUP(MONTH(Tabla19[[#This Row],[Fecha final]]),Tabla20[#All],3,FALSE)</f>
        <v>0</v>
      </c>
      <c r="J18" s="16">
        <f>(Tabla19[[#This Row],[P3 + P6]])*VLOOKUP(MONTH(Tabla19[[#This Row],[Fecha final]]),Tabla20[#All],4,FALSE)</f>
        <v>168.25380000000001</v>
      </c>
      <c r="K18" s="16">
        <f>Tabla19[[#This Row],[P1 + P4]]*VLOOKUP(MONTH(Tabla19[[#This Row],[Fecha final]]),Tabla20[#All],5,FALSE)</f>
        <v>152</v>
      </c>
      <c r="L18" s="16">
        <f>Tabla19[[#This Row],[P2 + P5]]*VLOOKUP(MONTH(Tabla19[[#This Row],[Fecha final]]),Tabla20[#All],6,FALSE)</f>
        <v>0</v>
      </c>
      <c r="M18" s="16">
        <f>Tabla19[[#This Row],[P3 + P6]]*VLOOKUP(MONTH(Tabla19[[#This Row],[Fecha final]]),Tabla20[#All],7,FALSE)</f>
        <v>312.74619999999999</v>
      </c>
      <c r="N18" s="16">
        <f>YEAR(Tabla19[[#This Row],[Fecha final]])</f>
        <v>2021</v>
      </c>
    </row>
    <row r="19" spans="1:14">
      <c r="A19" s="17">
        <v>44377</v>
      </c>
      <c r="B19" s="16" t="s">
        <v>53</v>
      </c>
      <c r="C19" s="16">
        <v>31</v>
      </c>
      <c r="D19" s="16" t="s">
        <v>42</v>
      </c>
      <c r="E19" s="16">
        <v>488</v>
      </c>
      <c r="F19" s="16">
        <v>244</v>
      </c>
      <c r="G19" s="16">
        <v>188</v>
      </c>
      <c r="H19" s="16">
        <f>Tabla19[[#This Row],[P1 + P4]]*VLOOKUP(MONTH(Tabla19[[#This Row],[Fecha final]]),Tabla20[#All],2,FALSE)</f>
        <v>488</v>
      </c>
      <c r="I19" s="16">
        <f>Tabla19[[#This Row],[P2 + P5]]*VLOOKUP(MONTH(Tabla19[[#This Row],[Fecha final]]),Tabla20[#All],3,FALSE)</f>
        <v>244</v>
      </c>
      <c r="J19" s="16">
        <f>(Tabla19[[#This Row],[P3 + P6]])*VLOOKUP(MONTH(Tabla19[[#This Row],[Fecha final]]),Tabla20[#All],4,FALSE)</f>
        <v>0</v>
      </c>
      <c r="K19" s="16">
        <f>Tabla19[[#This Row],[P1 + P4]]*VLOOKUP(MONTH(Tabla19[[#This Row],[Fecha final]]),Tabla20[#All],5,FALSE)</f>
        <v>0</v>
      </c>
      <c r="L19" s="16">
        <f>Tabla19[[#This Row],[P2 + P5]]*VLOOKUP(MONTH(Tabla19[[#This Row],[Fecha final]]),Tabla20[#All],6,FALSE)</f>
        <v>0</v>
      </c>
      <c r="M19" s="16">
        <f>Tabla19[[#This Row],[P3 + P6]]*VLOOKUP(MONTH(Tabla19[[#This Row],[Fecha final]]),Tabla20[#All],7,FALSE)</f>
        <v>188</v>
      </c>
      <c r="N19" s="16">
        <f>YEAR(Tabla19[[#This Row],[Fecha final]])</f>
        <v>2021</v>
      </c>
    </row>
    <row r="20" spans="1:14">
      <c r="A20" s="17">
        <v>44408</v>
      </c>
      <c r="B20" s="16" t="s">
        <v>54</v>
      </c>
      <c r="C20" s="16">
        <v>31</v>
      </c>
      <c r="D20" s="16" t="s">
        <v>42</v>
      </c>
      <c r="E20" s="16">
        <v>167</v>
      </c>
      <c r="F20" s="16">
        <v>0</v>
      </c>
      <c r="G20" s="16">
        <v>604</v>
      </c>
      <c r="H20" s="16">
        <f>Tabla19[[#This Row],[P1 + P4]]*VLOOKUP(MONTH(Tabla19[[#This Row],[Fecha final]]),Tabla20[#All],2,FALSE)</f>
        <v>0</v>
      </c>
      <c r="I20" s="16">
        <f>Tabla19[[#This Row],[P2 + P5]]*VLOOKUP(MONTH(Tabla19[[#This Row],[Fecha final]]),Tabla20[#All],3,FALSE)</f>
        <v>0</v>
      </c>
      <c r="J20" s="16">
        <f>(Tabla19[[#This Row],[P3 + P6]])*VLOOKUP(MONTH(Tabla19[[#This Row],[Fecha final]]),Tabla20[#All],4,FALSE)</f>
        <v>202.70240000000001</v>
      </c>
      <c r="K20" s="16">
        <f>Tabla19[[#This Row],[P1 + P4]]*VLOOKUP(MONTH(Tabla19[[#This Row],[Fecha final]]),Tabla20[#All],5,FALSE)</f>
        <v>167</v>
      </c>
      <c r="L20" s="16">
        <f>Tabla19[[#This Row],[P2 + P5]]*VLOOKUP(MONTH(Tabla19[[#This Row],[Fecha final]]),Tabla20[#All],6,FALSE)</f>
        <v>0</v>
      </c>
      <c r="M20" s="16">
        <f>Tabla19[[#This Row],[P3 + P6]]*VLOOKUP(MONTH(Tabla19[[#This Row],[Fecha final]]),Tabla20[#All],7,FALSE)</f>
        <v>401.29759999999999</v>
      </c>
      <c r="N20" s="16">
        <f>YEAR(Tabla19[[#This Row],[Fecha final]])</f>
        <v>2021</v>
      </c>
    </row>
    <row r="21" spans="1:14">
      <c r="A21" s="17">
        <v>44439</v>
      </c>
      <c r="B21" s="16" t="s">
        <v>55</v>
      </c>
      <c r="C21" s="16">
        <v>30</v>
      </c>
      <c r="D21" s="16" t="s">
        <v>42</v>
      </c>
      <c r="E21" s="16">
        <v>293</v>
      </c>
      <c r="F21" s="16">
        <v>0</v>
      </c>
      <c r="G21" s="16">
        <v>682</v>
      </c>
      <c r="H21" s="16">
        <f>Tabla19[[#This Row],[P1 + P4]]*VLOOKUP(MONTH(Tabla19[[#This Row],[Fecha final]]),Tabla20[#All],2,FALSE)</f>
        <v>0</v>
      </c>
      <c r="I21" s="16">
        <f>Tabla19[[#This Row],[P2 + P5]]*VLOOKUP(MONTH(Tabla19[[#This Row],[Fecha final]]),Tabla20[#All],3,FALSE)</f>
        <v>0</v>
      </c>
      <c r="J21" s="16">
        <f>(Tabla19[[#This Row],[P3 + P6]])*VLOOKUP(MONTH(Tabla19[[#This Row],[Fecha final]]),Tabla20[#All],4,FALSE)</f>
        <v>238.56360000000001</v>
      </c>
      <c r="K21" s="16">
        <f>Tabla19[[#This Row],[P1 + P4]]*VLOOKUP(MONTH(Tabla19[[#This Row],[Fecha final]]),Tabla20[#All],5,FALSE)</f>
        <v>293</v>
      </c>
      <c r="L21" s="16">
        <f>Tabla19[[#This Row],[P2 + P5]]*VLOOKUP(MONTH(Tabla19[[#This Row],[Fecha final]]),Tabla20[#All],6,FALSE)</f>
        <v>0</v>
      </c>
      <c r="M21" s="16">
        <f>Tabla19[[#This Row],[P3 + P6]]*VLOOKUP(MONTH(Tabla19[[#This Row],[Fecha final]]),Tabla20[#All],7,FALSE)</f>
        <v>443.43639999999999</v>
      </c>
      <c r="N21" s="16">
        <f>YEAR(Tabla19[[#This Row],[Fecha final]])</f>
        <v>2021</v>
      </c>
    </row>
    <row r="22" spans="1:14">
      <c r="A22" s="17">
        <v>44469</v>
      </c>
      <c r="B22" s="16" t="s">
        <v>57</v>
      </c>
      <c r="C22" s="16">
        <v>31</v>
      </c>
      <c r="D22" s="16" t="s">
        <v>42</v>
      </c>
      <c r="E22" s="16">
        <v>233</v>
      </c>
      <c r="F22" s="16">
        <v>189</v>
      </c>
      <c r="G22" s="16">
        <v>201</v>
      </c>
      <c r="H22" s="16">
        <f>Tabla19[[#This Row],[P1 + P4]]*VLOOKUP(MONTH(Tabla19[[#This Row],[Fecha final]]),Tabla20[#All],2,FALSE)</f>
        <v>0</v>
      </c>
      <c r="I22" s="16">
        <f>Tabla19[[#This Row],[P2 + P5]]*VLOOKUP(MONTH(Tabla19[[#This Row],[Fecha final]]),Tabla20[#All],3,FALSE)</f>
        <v>0</v>
      </c>
      <c r="J22" s="16">
        <f>(Tabla19[[#This Row],[P3 + P6]])*VLOOKUP(MONTH(Tabla19[[#This Row],[Fecha final]]),Tabla20[#All],4,FALSE)</f>
        <v>0</v>
      </c>
      <c r="K22" s="16">
        <f>Tabla19[[#This Row],[P1 + P4]]*VLOOKUP(MONTH(Tabla19[[#This Row],[Fecha final]]),Tabla20[#All],5,FALSE)</f>
        <v>233</v>
      </c>
      <c r="L22" s="16">
        <f>Tabla19[[#This Row],[P2 + P5]]*VLOOKUP(MONTH(Tabla19[[#This Row],[Fecha final]]),Tabla20[#All],6,FALSE)</f>
        <v>189</v>
      </c>
      <c r="M22" s="16">
        <f>Tabla19[[#This Row],[P3 + P6]]*VLOOKUP(MONTH(Tabla19[[#This Row],[Fecha final]]),Tabla20[#All],7,FALSE)</f>
        <v>201</v>
      </c>
      <c r="N22" s="16">
        <f>YEAR(Tabla19[[#This Row],[Fecha final]])</f>
        <v>2021</v>
      </c>
    </row>
    <row r="23" spans="1:14">
      <c r="A23" s="17">
        <v>44500</v>
      </c>
      <c r="B23" s="16" t="s">
        <v>58</v>
      </c>
      <c r="C23" s="16">
        <v>30</v>
      </c>
      <c r="D23" s="16" t="s">
        <v>42</v>
      </c>
      <c r="E23" s="16">
        <v>0</v>
      </c>
      <c r="F23" s="16">
        <v>360</v>
      </c>
      <c r="G23" s="16">
        <v>431</v>
      </c>
      <c r="H23" s="16">
        <f>Tabla19[[#This Row],[P1 + P4]]*VLOOKUP(MONTH(Tabla19[[#This Row],[Fecha final]]),Tabla20[#All],2,FALSE)</f>
        <v>0</v>
      </c>
      <c r="I23" s="16">
        <f>Tabla19[[#This Row],[P2 + P5]]*VLOOKUP(MONTH(Tabla19[[#This Row],[Fecha final]]),Tabla20[#All],3,FALSE)</f>
        <v>360</v>
      </c>
      <c r="J23" s="16">
        <f>(Tabla19[[#This Row],[P3 + P6]])*VLOOKUP(MONTH(Tabla19[[#This Row],[Fecha final]]),Tabla20[#All],4,FALSE)</f>
        <v>119.3008</v>
      </c>
      <c r="K23" s="16">
        <f>Tabla19[[#This Row],[P1 + P4]]*VLOOKUP(MONTH(Tabla19[[#This Row],[Fecha final]]),Tabla20[#All],5,FALSE)</f>
        <v>0</v>
      </c>
      <c r="L23" s="16">
        <f>Tabla19[[#This Row],[P2 + P5]]*VLOOKUP(MONTH(Tabla19[[#This Row],[Fecha final]]),Tabla20[#All],6,FALSE)</f>
        <v>0</v>
      </c>
      <c r="M23" s="16">
        <f>Tabla19[[#This Row],[P3 + P6]]*VLOOKUP(MONTH(Tabla19[[#This Row],[Fecha final]]),Tabla20[#All],7,FALSE)</f>
        <v>311.69919999999996</v>
      </c>
      <c r="N23" s="16">
        <f>YEAR(Tabla19[[#This Row],[Fecha final]])</f>
        <v>2021</v>
      </c>
    </row>
    <row r="24" spans="1:14">
      <c r="A24" s="17">
        <v>44530</v>
      </c>
      <c r="B24" s="16" t="s">
        <v>59</v>
      </c>
      <c r="C24" s="16">
        <v>2</v>
      </c>
      <c r="D24" s="16" t="s">
        <v>42</v>
      </c>
      <c r="E24" s="16">
        <v>72</v>
      </c>
      <c r="F24" s="16">
        <v>46</v>
      </c>
      <c r="G24" s="16">
        <v>8</v>
      </c>
      <c r="H24" s="16">
        <f>Tabla19[[#This Row],[P1 + P4]]*VLOOKUP(MONTH(Tabla19[[#This Row],[Fecha final]]),Tabla20[#All],2,FALSE)</f>
        <v>72</v>
      </c>
      <c r="I24" s="16">
        <f>Tabla19[[#This Row],[P2 + P5]]*VLOOKUP(MONTH(Tabla19[[#This Row],[Fecha final]]),Tabla20[#All],3,FALSE)</f>
        <v>46</v>
      </c>
      <c r="J24" s="16">
        <f>(Tabla19[[#This Row],[P3 + P6]])*VLOOKUP(MONTH(Tabla19[[#This Row],[Fecha final]]),Tabla20[#All],4,FALSE)</f>
        <v>0</v>
      </c>
      <c r="K24" s="16">
        <f>Tabla19[[#This Row],[P1 + P4]]*VLOOKUP(MONTH(Tabla19[[#This Row],[Fecha final]]),Tabla20[#All],5,FALSE)</f>
        <v>0</v>
      </c>
      <c r="L24" s="16">
        <f>Tabla19[[#This Row],[P2 + P5]]*VLOOKUP(MONTH(Tabla19[[#This Row],[Fecha final]]),Tabla20[#All],6,FALSE)</f>
        <v>0</v>
      </c>
      <c r="M24" s="16">
        <f>Tabla19[[#This Row],[P3 + P6]]*VLOOKUP(MONTH(Tabla19[[#This Row],[Fecha final]]),Tabla20[#All],7,FALSE)</f>
        <v>8</v>
      </c>
      <c r="N24" s="16">
        <f>YEAR(Tabla19[[#This Row],[Fecha final]])</f>
        <v>2021</v>
      </c>
    </row>
    <row r="25" spans="1:14">
      <c r="A25" s="17">
        <v>44532</v>
      </c>
      <c r="B25" s="16" t="s">
        <v>60</v>
      </c>
      <c r="C25" s="16">
        <v>29</v>
      </c>
      <c r="D25" s="16" t="s">
        <v>42</v>
      </c>
      <c r="E25" s="16">
        <v>427</v>
      </c>
      <c r="F25" s="16">
        <v>255</v>
      </c>
      <c r="G25" s="16">
        <v>182</v>
      </c>
      <c r="H25" s="16">
        <f>Tabla19[[#This Row],[P1 + P4]]*VLOOKUP(MONTH(Tabla19[[#This Row],[Fecha final]]),Tabla20[#All],2,FALSE)</f>
        <v>427</v>
      </c>
      <c r="I25" s="16">
        <f>Tabla19[[#This Row],[P2 + P5]]*VLOOKUP(MONTH(Tabla19[[#This Row],[Fecha final]]),Tabla20[#All],3,FALSE)</f>
        <v>255</v>
      </c>
      <c r="J25" s="16">
        <f>(Tabla19[[#This Row],[P3 + P6]])*VLOOKUP(MONTH(Tabla19[[#This Row],[Fecha final]]),Tabla20[#All],4,FALSE)</f>
        <v>0</v>
      </c>
      <c r="K25" s="16">
        <f>Tabla19[[#This Row],[P1 + P4]]*VLOOKUP(MONTH(Tabla19[[#This Row],[Fecha final]]),Tabla20[#All],5,FALSE)</f>
        <v>0</v>
      </c>
      <c r="L25" s="16">
        <f>Tabla19[[#This Row],[P2 + P5]]*VLOOKUP(MONTH(Tabla19[[#This Row],[Fecha final]]),Tabla20[#All],6,FALSE)</f>
        <v>0</v>
      </c>
      <c r="M25" s="16">
        <f>Tabla19[[#This Row],[P3 + P6]]*VLOOKUP(MONTH(Tabla19[[#This Row],[Fecha final]]),Tabla20[#All],7,FALSE)</f>
        <v>182</v>
      </c>
      <c r="N25" s="16">
        <f>YEAR(Tabla19[[#This Row],[Fecha final]])</f>
        <v>2021</v>
      </c>
    </row>
    <row r="26" spans="1:14">
      <c r="A26" s="17">
        <v>44561</v>
      </c>
      <c r="B26" s="16" t="s">
        <v>61</v>
      </c>
      <c r="C26" s="16">
        <v>31</v>
      </c>
      <c r="D26" s="16" t="s">
        <v>42</v>
      </c>
      <c r="E26" s="16">
        <v>592</v>
      </c>
      <c r="F26" s="16">
        <v>320</v>
      </c>
      <c r="G26" s="16">
        <v>215</v>
      </c>
      <c r="H26" s="16">
        <f>Tabla19[[#This Row],[P1 + P4]]*VLOOKUP(MONTH(Tabla19[[#This Row],[Fecha final]]),Tabla20[#All],2,FALSE)</f>
        <v>592</v>
      </c>
      <c r="I26" s="16">
        <f>Tabla19[[#This Row],[P2 + P5]]*VLOOKUP(MONTH(Tabla19[[#This Row],[Fecha final]]),Tabla20[#All],3,FALSE)</f>
        <v>320</v>
      </c>
      <c r="J26" s="16">
        <f>(Tabla19[[#This Row],[P3 + P6]])*VLOOKUP(MONTH(Tabla19[[#This Row],[Fecha final]]),Tabla20[#All],4,FALSE)</f>
        <v>0</v>
      </c>
      <c r="K26" s="16">
        <f>Tabla19[[#This Row],[P1 + P4]]*VLOOKUP(MONTH(Tabla19[[#This Row],[Fecha final]]),Tabla20[#All],5,FALSE)</f>
        <v>0</v>
      </c>
      <c r="L26" s="16">
        <f>Tabla19[[#This Row],[P2 + P5]]*VLOOKUP(MONTH(Tabla19[[#This Row],[Fecha final]]),Tabla20[#All],6,FALSE)</f>
        <v>0</v>
      </c>
      <c r="M26" s="16">
        <f>Tabla19[[#This Row],[P3 + P6]]*VLOOKUP(MONTH(Tabla19[[#This Row],[Fecha final]]),Tabla20[#All],7,FALSE)</f>
        <v>215</v>
      </c>
      <c r="N26" s="16">
        <f>YEAR(Tabla19[[#This Row],[Fecha final]])</f>
        <v>2022</v>
      </c>
    </row>
    <row r="27" spans="1:14">
      <c r="A27" s="17">
        <v>44592</v>
      </c>
      <c r="B27" s="16" t="s">
        <v>62</v>
      </c>
      <c r="C27" s="16">
        <v>28</v>
      </c>
      <c r="D27" s="16" t="s">
        <v>42</v>
      </c>
      <c r="E27" s="16">
        <v>601</v>
      </c>
      <c r="F27" s="16">
        <v>314</v>
      </c>
      <c r="G27" s="16">
        <v>164</v>
      </c>
      <c r="H27" s="16">
        <f>Tabla19[[#This Row],[P1 + P4]]*VLOOKUP(MONTH(Tabla19[[#This Row],[Fecha final]]),Tabla20[#All],2,FALSE)</f>
        <v>601</v>
      </c>
      <c r="I27" s="16">
        <f>Tabla19[[#This Row],[P2 + P5]]*VLOOKUP(MONTH(Tabla19[[#This Row],[Fecha final]]),Tabla20[#All],3,FALSE)</f>
        <v>314</v>
      </c>
      <c r="J27" s="16">
        <f>(Tabla19[[#This Row],[P3 + P6]])*VLOOKUP(MONTH(Tabla19[[#This Row],[Fecha final]]),Tabla20[#All],4,FALSE)</f>
        <v>0</v>
      </c>
      <c r="K27" s="16">
        <f>Tabla19[[#This Row],[P1 + P4]]*VLOOKUP(MONTH(Tabla19[[#This Row],[Fecha final]]),Tabla20[#All],5,FALSE)</f>
        <v>0</v>
      </c>
      <c r="L27" s="16">
        <f>Tabla19[[#This Row],[P2 + P5]]*VLOOKUP(MONTH(Tabla19[[#This Row],[Fecha final]]),Tabla20[#All],6,FALSE)</f>
        <v>0</v>
      </c>
      <c r="M27" s="16">
        <f>Tabla19[[#This Row],[P3 + P6]]*VLOOKUP(MONTH(Tabla19[[#This Row],[Fecha final]]),Tabla20[#All],7,FALSE)</f>
        <v>164</v>
      </c>
      <c r="N27" s="16">
        <f>YEAR(Tabla19[[#This Row],[Fecha final]])</f>
        <v>2022</v>
      </c>
    </row>
    <row r="28" spans="1:14">
      <c r="A28" s="17">
        <v>44620</v>
      </c>
      <c r="B28" s="16" t="s">
        <v>63</v>
      </c>
      <c r="C28" s="16">
        <v>31</v>
      </c>
      <c r="D28" s="16" t="s">
        <v>42</v>
      </c>
      <c r="E28" s="16">
        <v>0</v>
      </c>
      <c r="F28" s="16">
        <v>554</v>
      </c>
      <c r="G28" s="16">
        <v>448</v>
      </c>
      <c r="H28" s="16">
        <f>Tabla19[[#This Row],[P1 + P4]]*VLOOKUP(MONTH(Tabla19[[#This Row],[Fecha final]]),Tabla20[#All],2,FALSE)</f>
        <v>0</v>
      </c>
      <c r="I28" s="16">
        <f>Tabla19[[#This Row],[P2 + P5]]*VLOOKUP(MONTH(Tabla19[[#This Row],[Fecha final]]),Tabla20[#All],3,FALSE)</f>
        <v>554</v>
      </c>
      <c r="J28" s="16">
        <f>(Tabla19[[#This Row],[P3 + P6]])*VLOOKUP(MONTH(Tabla19[[#This Row],[Fecha final]]),Tabla20[#All],4,FALSE)</f>
        <v>134.31040000000002</v>
      </c>
      <c r="K28" s="16">
        <f>Tabla19[[#This Row],[P1 + P4]]*VLOOKUP(MONTH(Tabla19[[#This Row],[Fecha final]]),Tabla20[#All],5,FALSE)</f>
        <v>0</v>
      </c>
      <c r="L28" s="16">
        <f>Tabla19[[#This Row],[P2 + P5]]*VLOOKUP(MONTH(Tabla19[[#This Row],[Fecha final]]),Tabla20[#All],6,FALSE)</f>
        <v>0</v>
      </c>
      <c r="M28" s="16">
        <f>Tabla19[[#This Row],[P3 + P6]]*VLOOKUP(MONTH(Tabla19[[#This Row],[Fecha final]]),Tabla20[#All],7,FALSE)</f>
        <v>313.68960000000004</v>
      </c>
      <c r="N28" s="16">
        <f>YEAR(Tabla19[[#This Row],[Fecha final]])</f>
        <v>2022</v>
      </c>
    </row>
    <row r="29" spans="1:14">
      <c r="A29" s="17">
        <v>44651</v>
      </c>
      <c r="B29" s="16" t="s">
        <v>65</v>
      </c>
      <c r="C29" s="16">
        <v>30</v>
      </c>
      <c r="D29" s="16" t="s">
        <v>42</v>
      </c>
      <c r="E29" s="16">
        <v>313</v>
      </c>
      <c r="F29" s="16">
        <v>184</v>
      </c>
      <c r="G29" s="16">
        <v>166</v>
      </c>
      <c r="H29" s="16">
        <f>Tabla19[[#This Row],[P1 + P4]]*VLOOKUP(MONTH(Tabla19[[#This Row],[Fecha final]]),Tabla20[#All],2,FALSE)</f>
        <v>0</v>
      </c>
      <c r="I29" s="16">
        <f>Tabla19[[#This Row],[P2 + P5]]*VLOOKUP(MONTH(Tabla19[[#This Row],[Fecha final]]),Tabla20[#All],3,FALSE)</f>
        <v>0</v>
      </c>
      <c r="J29" s="16">
        <f>(Tabla19[[#This Row],[P3 + P6]])*VLOOKUP(MONTH(Tabla19[[#This Row],[Fecha final]]),Tabla20[#All],4,FALSE)</f>
        <v>0</v>
      </c>
      <c r="K29" s="16">
        <f>Tabla19[[#This Row],[P1 + P4]]*VLOOKUP(MONTH(Tabla19[[#This Row],[Fecha final]]),Tabla20[#All],5,FALSE)</f>
        <v>313</v>
      </c>
      <c r="L29" s="16">
        <f>Tabla19[[#This Row],[P2 + P5]]*VLOOKUP(MONTH(Tabla19[[#This Row],[Fecha final]]),Tabla20[#All],6,FALSE)</f>
        <v>184</v>
      </c>
      <c r="M29" s="16">
        <f>Tabla19[[#This Row],[P3 + P6]]*VLOOKUP(MONTH(Tabla19[[#This Row],[Fecha final]]),Tabla20[#All],7,FALSE)</f>
        <v>166</v>
      </c>
      <c r="N29" s="16">
        <f>YEAR(Tabla19[[#This Row],[Fecha final]])</f>
        <v>2022</v>
      </c>
    </row>
    <row r="30" spans="1:14">
      <c r="A30" s="17">
        <v>44681</v>
      </c>
      <c r="B30" s="16" t="s">
        <v>66</v>
      </c>
      <c r="C30" s="16">
        <v>31</v>
      </c>
      <c r="D30" s="16" t="s">
        <v>42</v>
      </c>
      <c r="E30" s="16">
        <v>259</v>
      </c>
      <c r="F30" s="16">
        <v>172</v>
      </c>
      <c r="G30" s="16">
        <v>164</v>
      </c>
      <c r="H30" s="16">
        <f>Tabla19[[#This Row],[P1 + P4]]*VLOOKUP(MONTH(Tabla19[[#This Row],[Fecha final]]),Tabla20[#All],2,FALSE)</f>
        <v>0</v>
      </c>
      <c r="I30" s="16">
        <f>Tabla19[[#This Row],[P2 + P5]]*VLOOKUP(MONTH(Tabla19[[#This Row],[Fecha final]]),Tabla20[#All],3,FALSE)</f>
        <v>0</v>
      </c>
      <c r="J30" s="16">
        <f>(Tabla19[[#This Row],[P3 + P6]])*VLOOKUP(MONTH(Tabla19[[#This Row],[Fecha final]]),Tabla20[#All],4,FALSE)</f>
        <v>0</v>
      </c>
      <c r="K30" s="16">
        <f>Tabla19[[#This Row],[P1 + P4]]*VLOOKUP(MONTH(Tabla19[[#This Row],[Fecha final]]),Tabla20[#All],5,FALSE)</f>
        <v>259</v>
      </c>
      <c r="L30" s="16">
        <f>Tabla19[[#This Row],[P2 + P5]]*VLOOKUP(MONTH(Tabla19[[#This Row],[Fecha final]]),Tabla20[#All],6,FALSE)</f>
        <v>172</v>
      </c>
      <c r="M30" s="16">
        <f>Tabla19[[#This Row],[P3 + P6]]*VLOOKUP(MONTH(Tabla19[[#This Row],[Fecha final]]),Tabla20[#All],7,FALSE)</f>
        <v>164</v>
      </c>
      <c r="N30" s="16">
        <f>YEAR(Tabla19[[#This Row],[Fecha final]])</f>
        <v>2022</v>
      </c>
    </row>
    <row r="31" spans="1:14">
      <c r="A31" s="17">
        <v>44712</v>
      </c>
      <c r="B31" s="16" t="s">
        <v>67</v>
      </c>
      <c r="C31" s="16">
        <v>30</v>
      </c>
      <c r="D31" s="16" t="s">
        <v>42</v>
      </c>
      <c r="E31" s="16">
        <v>223</v>
      </c>
      <c r="F31" s="16">
        <v>0</v>
      </c>
      <c r="G31" s="16">
        <v>546</v>
      </c>
      <c r="H31" s="16">
        <f>Tabla19[[#This Row],[P1 + P4]]*VLOOKUP(MONTH(Tabla19[[#This Row],[Fecha final]]),Tabla20[#All],2,FALSE)</f>
        <v>0</v>
      </c>
      <c r="I31" s="16">
        <f>Tabla19[[#This Row],[P2 + P5]]*VLOOKUP(MONTH(Tabla19[[#This Row],[Fecha final]]),Tabla20[#All],3,FALSE)</f>
        <v>0</v>
      </c>
      <c r="J31" s="16">
        <f>(Tabla19[[#This Row],[P3 + P6]])*VLOOKUP(MONTH(Tabla19[[#This Row],[Fecha final]]),Tabla20[#All],4,FALSE)</f>
        <v>190.99080000000001</v>
      </c>
      <c r="K31" s="16">
        <f>Tabla19[[#This Row],[P1 + P4]]*VLOOKUP(MONTH(Tabla19[[#This Row],[Fecha final]]),Tabla20[#All],5,FALSE)</f>
        <v>223</v>
      </c>
      <c r="L31" s="16">
        <f>Tabla19[[#This Row],[P2 + P5]]*VLOOKUP(MONTH(Tabla19[[#This Row],[Fecha final]]),Tabla20[#All],6,FALSE)</f>
        <v>0</v>
      </c>
      <c r="M31" s="16">
        <f>Tabla19[[#This Row],[P3 + P6]]*VLOOKUP(MONTH(Tabla19[[#This Row],[Fecha final]]),Tabla20[#All],7,FALSE)</f>
        <v>355.00920000000002</v>
      </c>
      <c r="N31" s="16">
        <f>YEAR(Tabla19[[#This Row],[Fecha final]])</f>
        <v>2022</v>
      </c>
    </row>
    <row r="32" spans="1:14">
      <c r="A32" s="17">
        <v>44742</v>
      </c>
      <c r="B32" s="16" t="s">
        <v>68</v>
      </c>
      <c r="C32" s="16">
        <v>31</v>
      </c>
      <c r="D32" s="16" t="s">
        <v>42</v>
      </c>
      <c r="E32" s="16">
        <v>624</v>
      </c>
      <c r="F32" s="16">
        <v>292</v>
      </c>
      <c r="G32" s="16">
        <v>224</v>
      </c>
      <c r="H32" s="16">
        <f>Tabla19[[#This Row],[P1 + P4]]*VLOOKUP(MONTH(Tabla19[[#This Row],[Fecha final]]),Tabla20[#All],2,FALSE)</f>
        <v>624</v>
      </c>
      <c r="I32" s="16">
        <f>Tabla19[[#This Row],[P2 + P5]]*VLOOKUP(MONTH(Tabla19[[#This Row],[Fecha final]]),Tabla20[#All],3,FALSE)</f>
        <v>292</v>
      </c>
      <c r="J32" s="16">
        <f>(Tabla19[[#This Row],[P3 + P6]])*VLOOKUP(MONTH(Tabla19[[#This Row],[Fecha final]]),Tabla20[#All],4,FALSE)</f>
        <v>0</v>
      </c>
      <c r="K32" s="16">
        <f>Tabla19[[#This Row],[P1 + P4]]*VLOOKUP(MONTH(Tabla19[[#This Row],[Fecha final]]),Tabla20[#All],5,FALSE)</f>
        <v>0</v>
      </c>
      <c r="L32" s="16">
        <f>Tabla19[[#This Row],[P2 + P5]]*VLOOKUP(MONTH(Tabla19[[#This Row],[Fecha final]]),Tabla20[#All],6,FALSE)</f>
        <v>0</v>
      </c>
      <c r="M32" s="16">
        <f>Tabla19[[#This Row],[P3 + P6]]*VLOOKUP(MONTH(Tabla19[[#This Row],[Fecha final]]),Tabla20[#All],7,FALSE)</f>
        <v>224</v>
      </c>
      <c r="N32" s="16">
        <f>YEAR(Tabla19[[#This Row],[Fecha final]])</f>
        <v>2022</v>
      </c>
    </row>
    <row r="33" spans="1:14">
      <c r="A33" s="17">
        <v>44773</v>
      </c>
      <c r="B33" s="16" t="s">
        <v>69</v>
      </c>
      <c r="C33" s="16">
        <v>31</v>
      </c>
      <c r="D33" s="16" t="s">
        <v>42</v>
      </c>
      <c r="E33" s="16">
        <v>232</v>
      </c>
      <c r="F33" s="16">
        <v>0</v>
      </c>
      <c r="G33" s="16">
        <v>634</v>
      </c>
      <c r="H33" s="16">
        <f>Tabla19[[#This Row],[P1 + P4]]*VLOOKUP(MONTH(Tabla19[[#This Row],[Fecha final]]),Tabla20[#All],2,FALSE)</f>
        <v>0</v>
      </c>
      <c r="I33" s="16">
        <f>Tabla19[[#This Row],[P2 + P5]]*VLOOKUP(MONTH(Tabla19[[#This Row],[Fecha final]]),Tabla20[#All],3,FALSE)</f>
        <v>0</v>
      </c>
      <c r="J33" s="16">
        <f>(Tabla19[[#This Row],[P3 + P6]])*VLOOKUP(MONTH(Tabla19[[#This Row],[Fecha final]]),Tabla20[#All],4,FALSE)</f>
        <v>212.7704</v>
      </c>
      <c r="K33" s="16">
        <f>Tabla19[[#This Row],[P1 + P4]]*VLOOKUP(MONTH(Tabla19[[#This Row],[Fecha final]]),Tabla20[#All],5,FALSE)</f>
        <v>232</v>
      </c>
      <c r="L33" s="16">
        <f>Tabla19[[#This Row],[P2 + P5]]*VLOOKUP(MONTH(Tabla19[[#This Row],[Fecha final]]),Tabla20[#All],6,FALSE)</f>
        <v>0</v>
      </c>
      <c r="M33" s="16">
        <f>Tabla19[[#This Row],[P3 + P6]]*VLOOKUP(MONTH(Tabla19[[#This Row],[Fecha final]]),Tabla20[#All],7,FALSE)</f>
        <v>421.2296</v>
      </c>
      <c r="N33" s="16">
        <f>YEAR(Tabla19[[#This Row],[Fecha final]])</f>
        <v>2022</v>
      </c>
    </row>
    <row r="34" spans="1:14">
      <c r="A34" s="17">
        <v>44804</v>
      </c>
      <c r="B34" s="16" t="s">
        <v>70</v>
      </c>
      <c r="C34" s="16">
        <v>30</v>
      </c>
      <c r="D34" s="16" t="s">
        <v>42</v>
      </c>
      <c r="E34" s="16">
        <v>190</v>
      </c>
      <c r="F34" s="16">
        <v>0</v>
      </c>
      <c r="G34" s="16">
        <v>463</v>
      </c>
      <c r="H34" s="16">
        <f>Tabla19[[#This Row],[P1 + P4]]*VLOOKUP(MONTH(Tabla19[[#This Row],[Fecha final]]),Tabla20[#All],2,FALSE)</f>
        <v>0</v>
      </c>
      <c r="I34" s="16">
        <f>Tabla19[[#This Row],[P2 + P5]]*VLOOKUP(MONTH(Tabla19[[#This Row],[Fecha final]]),Tabla20[#All],3,FALSE)</f>
        <v>0</v>
      </c>
      <c r="J34" s="16">
        <f>(Tabla19[[#This Row],[P3 + P6]])*VLOOKUP(MONTH(Tabla19[[#This Row],[Fecha final]]),Tabla20[#All],4,FALSE)</f>
        <v>161.95740000000001</v>
      </c>
      <c r="K34" s="16">
        <f>Tabla19[[#This Row],[P1 + P4]]*VLOOKUP(MONTH(Tabla19[[#This Row],[Fecha final]]),Tabla20[#All],5,FALSE)</f>
        <v>190</v>
      </c>
      <c r="L34" s="16">
        <f>Tabla19[[#This Row],[P2 + P5]]*VLOOKUP(MONTH(Tabla19[[#This Row],[Fecha final]]),Tabla20[#All],6,FALSE)</f>
        <v>0</v>
      </c>
      <c r="M34" s="16">
        <f>Tabla19[[#This Row],[P3 + P6]]*VLOOKUP(MONTH(Tabla19[[#This Row],[Fecha final]]),Tabla20[#All],7,FALSE)</f>
        <v>301.04259999999999</v>
      </c>
      <c r="N34" s="16">
        <f>YEAR(Tabla19[[#This Row],[Fecha final]])</f>
        <v>2022</v>
      </c>
    </row>
    <row r="35" spans="1:14">
      <c r="A35" s="17">
        <v>44834</v>
      </c>
      <c r="B35" s="16" t="s">
        <v>71</v>
      </c>
      <c r="C35" s="16">
        <v>31</v>
      </c>
      <c r="D35" s="16" t="s">
        <v>42</v>
      </c>
      <c r="E35" s="16">
        <v>275</v>
      </c>
      <c r="F35" s="16">
        <v>201</v>
      </c>
      <c r="G35" s="16">
        <v>184</v>
      </c>
      <c r="H35" s="16">
        <f>Tabla19[[#This Row],[P1 + P4]]*VLOOKUP(MONTH(Tabla19[[#This Row],[Fecha final]]),Tabla20[#All],2,FALSE)</f>
        <v>0</v>
      </c>
      <c r="I35" s="16">
        <f>Tabla19[[#This Row],[P2 + P5]]*VLOOKUP(MONTH(Tabla19[[#This Row],[Fecha final]]),Tabla20[#All],3,FALSE)</f>
        <v>0</v>
      </c>
      <c r="J35" s="16">
        <f>(Tabla19[[#This Row],[P3 + P6]])*VLOOKUP(MONTH(Tabla19[[#This Row],[Fecha final]]),Tabla20[#All],4,FALSE)</f>
        <v>0</v>
      </c>
      <c r="K35" s="16">
        <f>Tabla19[[#This Row],[P1 + P4]]*VLOOKUP(MONTH(Tabla19[[#This Row],[Fecha final]]),Tabla20[#All],5,FALSE)</f>
        <v>275</v>
      </c>
      <c r="L35" s="16">
        <f>Tabla19[[#This Row],[P2 + P5]]*VLOOKUP(MONTH(Tabla19[[#This Row],[Fecha final]]),Tabla20[#All],6,FALSE)</f>
        <v>201</v>
      </c>
      <c r="M35" s="16">
        <f>Tabla19[[#This Row],[P3 + P6]]*VLOOKUP(MONTH(Tabla19[[#This Row],[Fecha final]]),Tabla20[#All],7,FALSE)</f>
        <v>184</v>
      </c>
      <c r="N35" s="16">
        <f>YEAR(Tabla19[[#This Row],[Fecha final]])</f>
        <v>2022</v>
      </c>
    </row>
    <row r="36" spans="1:14">
      <c r="A36" s="17">
        <v>44865</v>
      </c>
      <c r="B36" s="16" t="s">
        <v>72</v>
      </c>
      <c r="C36" s="16">
        <v>30</v>
      </c>
      <c r="D36" s="16" t="s">
        <v>42</v>
      </c>
      <c r="E36" s="16">
        <v>0</v>
      </c>
      <c r="F36" s="16">
        <v>256</v>
      </c>
      <c r="G36" s="16">
        <v>362</v>
      </c>
      <c r="H36" s="16">
        <f>Tabla19[[#This Row],[P1 + P4]]*VLOOKUP(MONTH(Tabla19[[#This Row],[Fecha final]]),Tabla20[#All],2,FALSE)</f>
        <v>0</v>
      </c>
      <c r="I36" s="16">
        <f>Tabla19[[#This Row],[P2 + P5]]*VLOOKUP(MONTH(Tabla19[[#This Row],[Fecha final]]),Tabla20[#All],3,FALSE)</f>
        <v>256</v>
      </c>
      <c r="J36" s="16">
        <f>(Tabla19[[#This Row],[P3 + P6]])*VLOOKUP(MONTH(Tabla19[[#This Row],[Fecha final]]),Tabla20[#All],4,FALSE)</f>
        <v>100.2016</v>
      </c>
      <c r="K36" s="16">
        <f>Tabla19[[#This Row],[P1 + P4]]*VLOOKUP(MONTH(Tabla19[[#This Row],[Fecha final]]),Tabla20[#All],5,FALSE)</f>
        <v>0</v>
      </c>
      <c r="L36" s="16">
        <f>Tabla19[[#This Row],[P2 + P5]]*VLOOKUP(MONTH(Tabla19[[#This Row],[Fecha final]]),Tabla20[#All],6,FALSE)</f>
        <v>0</v>
      </c>
      <c r="M36" s="16">
        <f>Tabla19[[#This Row],[P3 + P6]]*VLOOKUP(MONTH(Tabla19[[#This Row],[Fecha final]]),Tabla20[#All],7,FALSE)</f>
        <v>261.79839999999996</v>
      </c>
      <c r="N36" s="16">
        <f>YEAR(Tabla19[[#This Row],[Fecha final]])</f>
        <v>2022</v>
      </c>
    </row>
    <row r="37" spans="1:14">
      <c r="A37" s="17">
        <v>44895</v>
      </c>
      <c r="B37" s="16" t="s">
        <v>73</v>
      </c>
      <c r="C37" s="16">
        <v>31</v>
      </c>
      <c r="D37" s="16" t="s">
        <v>42</v>
      </c>
      <c r="E37" s="16">
        <v>367</v>
      </c>
      <c r="F37" s="16">
        <v>187</v>
      </c>
      <c r="G37" s="16">
        <v>192</v>
      </c>
      <c r="H37" s="16">
        <f>Tabla19[[#This Row],[P1 + P4]]*VLOOKUP(MONTH(Tabla19[[#This Row],[Fecha final]]),Tabla20[#All],2,FALSE)</f>
        <v>367</v>
      </c>
      <c r="I37" s="16">
        <f>Tabla19[[#This Row],[P2 + P5]]*VLOOKUP(MONTH(Tabla19[[#This Row],[Fecha final]]),Tabla20[#All],3,FALSE)</f>
        <v>187</v>
      </c>
      <c r="J37" s="16">
        <f>(Tabla19[[#This Row],[P3 + P6]])*VLOOKUP(MONTH(Tabla19[[#This Row],[Fecha final]]),Tabla20[#All],4,FALSE)</f>
        <v>0</v>
      </c>
      <c r="K37" s="16">
        <f>Tabla19[[#This Row],[P1 + P4]]*VLOOKUP(MONTH(Tabla19[[#This Row],[Fecha final]]),Tabla20[#All],5,FALSE)</f>
        <v>0</v>
      </c>
      <c r="L37" s="16">
        <f>Tabla19[[#This Row],[P2 + P5]]*VLOOKUP(MONTH(Tabla19[[#This Row],[Fecha final]]),Tabla20[#All],6,FALSE)</f>
        <v>0</v>
      </c>
      <c r="M37" s="16">
        <f>Tabla19[[#This Row],[P3 + P6]]*VLOOKUP(MONTH(Tabla19[[#This Row],[Fecha final]]),Tabla20[#All],7,FALSE)</f>
        <v>192</v>
      </c>
      <c r="N37" s="16">
        <f>YEAR(Tabla19[[#This Row],[Fecha final]])</f>
        <v>2022</v>
      </c>
    </row>
    <row r="38" spans="1:14">
      <c r="A38" s="17">
        <v>44926</v>
      </c>
      <c r="B38" s="16" t="s">
        <v>74</v>
      </c>
      <c r="C38" s="16">
        <v>31</v>
      </c>
      <c r="D38" s="16" t="s">
        <v>42</v>
      </c>
      <c r="E38" s="16">
        <v>631</v>
      </c>
      <c r="F38" s="16">
        <v>322</v>
      </c>
      <c r="G38" s="16">
        <v>248</v>
      </c>
      <c r="H38" s="16">
        <f>Tabla19[[#This Row],[P1 + P4]]*VLOOKUP(MONTH(Tabla19[[#This Row],[Fecha final]]),Tabla20[#All],2,FALSE)</f>
        <v>631</v>
      </c>
      <c r="I38" s="16">
        <f>Tabla19[[#This Row],[P2 + P5]]*VLOOKUP(MONTH(Tabla19[[#This Row],[Fecha final]]),Tabla20[#All],3,FALSE)</f>
        <v>322</v>
      </c>
      <c r="J38" s="16">
        <f>(Tabla19[[#This Row],[P3 + P6]])*VLOOKUP(MONTH(Tabla19[[#This Row],[Fecha final]]),Tabla20[#All],4,FALSE)</f>
        <v>0</v>
      </c>
      <c r="K38" s="16">
        <f>Tabla19[[#This Row],[P1 + P4]]*VLOOKUP(MONTH(Tabla19[[#This Row],[Fecha final]]),Tabla20[#All],5,FALSE)</f>
        <v>0</v>
      </c>
      <c r="L38" s="16">
        <f>Tabla19[[#This Row],[P2 + P5]]*VLOOKUP(MONTH(Tabla19[[#This Row],[Fecha final]]),Tabla20[#All],6,FALSE)</f>
        <v>0</v>
      </c>
      <c r="M38" s="16">
        <f>Tabla19[[#This Row],[P3 + P6]]*VLOOKUP(MONTH(Tabla19[[#This Row],[Fecha final]]),Tabla20[#All],7,FALSE)</f>
        <v>248</v>
      </c>
      <c r="N38" s="16">
        <f>YEAR(Tabla19[[#This Row],[Fecha final]])</f>
        <v>2023</v>
      </c>
    </row>
    <row r="39" spans="1:14">
      <c r="A39" s="17">
        <v>44957</v>
      </c>
      <c r="B39" s="16" t="s">
        <v>75</v>
      </c>
      <c r="C39" s="16">
        <v>28</v>
      </c>
      <c r="D39" s="16" t="s">
        <v>42</v>
      </c>
      <c r="E39" s="16">
        <v>34</v>
      </c>
      <c r="F39" s="16">
        <v>22</v>
      </c>
      <c r="G39" s="16">
        <v>61</v>
      </c>
      <c r="H39" s="16">
        <f>Tabla19[[#This Row],[P1 + P4]]*VLOOKUP(MONTH(Tabla19[[#This Row],[Fecha final]]),Tabla20[#All],2,FALSE)</f>
        <v>34</v>
      </c>
      <c r="I39" s="16">
        <f>Tabla19[[#This Row],[P2 + P5]]*VLOOKUP(MONTH(Tabla19[[#This Row],[Fecha final]]),Tabla20[#All],3,FALSE)</f>
        <v>22</v>
      </c>
      <c r="J39" s="16">
        <f>(Tabla19[[#This Row],[P3 + P6]])*VLOOKUP(MONTH(Tabla19[[#This Row],[Fecha final]]),Tabla20[#All],4,FALSE)</f>
        <v>0</v>
      </c>
      <c r="K39" s="16">
        <f>Tabla19[[#This Row],[P1 + P4]]*VLOOKUP(MONTH(Tabla19[[#This Row],[Fecha final]]),Tabla20[#All],5,FALSE)</f>
        <v>0</v>
      </c>
      <c r="L39" s="16">
        <f>Tabla19[[#This Row],[P2 + P5]]*VLOOKUP(MONTH(Tabla19[[#This Row],[Fecha final]]),Tabla20[#All],6,FALSE)</f>
        <v>0</v>
      </c>
      <c r="M39" s="16">
        <f>Tabla19[[#This Row],[P3 + P6]]*VLOOKUP(MONTH(Tabla19[[#This Row],[Fecha final]]),Tabla20[#All],7,FALSE)</f>
        <v>61</v>
      </c>
      <c r="N39" s="16">
        <f>YEAR(Tabla19[[#This Row],[Fecha final]])</f>
        <v>2023</v>
      </c>
    </row>
    <row r="40" spans="1:14">
      <c r="A40" s="17">
        <v>44985</v>
      </c>
      <c r="B40" s="16" t="s">
        <v>261</v>
      </c>
      <c r="C40" s="16">
        <v>15</v>
      </c>
      <c r="D40" s="16" t="s">
        <v>42</v>
      </c>
      <c r="E40" s="16">
        <v>0</v>
      </c>
      <c r="F40" s="16">
        <v>14</v>
      </c>
      <c r="G40" s="16">
        <v>38</v>
      </c>
      <c r="H40" s="16">
        <f>Tabla19[[#This Row],[P1 + P4]]*VLOOKUP(MONTH(Tabla19[[#This Row],[Fecha final]]),Tabla20[#All],2,FALSE)</f>
        <v>0</v>
      </c>
      <c r="I40" s="16">
        <f>Tabla19[[#This Row],[P2 + P5]]*VLOOKUP(MONTH(Tabla19[[#This Row],[Fecha final]]),Tabla20[#All],3,FALSE)</f>
        <v>14</v>
      </c>
      <c r="J40" s="16">
        <f>(Tabla19[[#This Row],[P3 + P6]])*VLOOKUP(MONTH(Tabla19[[#This Row],[Fecha final]]),Tabla20[#All],4,FALSE)</f>
        <v>11.3924</v>
      </c>
      <c r="K40" s="16">
        <f>Tabla19[[#This Row],[P1 + P4]]*VLOOKUP(MONTH(Tabla19[[#This Row],[Fecha final]]),Tabla20[#All],5,FALSE)</f>
        <v>0</v>
      </c>
      <c r="L40" s="16">
        <f>Tabla19[[#This Row],[P2 + P5]]*VLOOKUP(MONTH(Tabla19[[#This Row],[Fecha final]]),Tabla20[#All],6,FALSE)</f>
        <v>0</v>
      </c>
      <c r="M40" s="16">
        <f>Tabla19[[#This Row],[P3 + P6]]*VLOOKUP(MONTH(Tabla19[[#This Row],[Fecha final]]),Tabla20[#All],7,FALSE)</f>
        <v>26.607600000000001</v>
      </c>
      <c r="N40" s="16">
        <f>YEAR(Tabla19[[#This Row],[Fecha final]])</f>
        <v>2023</v>
      </c>
    </row>
    <row r="41" spans="1:14">
      <c r="A41" s="17">
        <v>45000</v>
      </c>
      <c r="B41" s="16" t="s">
        <v>76</v>
      </c>
      <c r="C41" s="16">
        <v>16</v>
      </c>
      <c r="D41" s="16" t="s">
        <v>42</v>
      </c>
      <c r="E41" s="16">
        <v>0</v>
      </c>
      <c r="F41" s="16">
        <v>14</v>
      </c>
      <c r="G41" s="16">
        <v>36</v>
      </c>
      <c r="H41" s="16">
        <f>Tabla19[[#This Row],[P1 + P4]]*VLOOKUP(MONTH(Tabla19[[#This Row],[Fecha final]]),Tabla20[#All],2,FALSE)</f>
        <v>0</v>
      </c>
      <c r="I41" s="16">
        <f>Tabla19[[#This Row],[P2 + P5]]*VLOOKUP(MONTH(Tabla19[[#This Row],[Fecha final]]),Tabla20[#All],3,FALSE)</f>
        <v>14</v>
      </c>
      <c r="J41" s="16">
        <f>(Tabla19[[#This Row],[P3 + P6]])*VLOOKUP(MONTH(Tabla19[[#This Row],[Fecha final]]),Tabla20[#All],4,FALSE)</f>
        <v>10.7928</v>
      </c>
      <c r="K41" s="16">
        <f>Tabla19[[#This Row],[P1 + P4]]*VLOOKUP(MONTH(Tabla19[[#This Row],[Fecha final]]),Tabla20[#All],5,FALSE)</f>
        <v>0</v>
      </c>
      <c r="L41" s="16">
        <f>Tabla19[[#This Row],[P2 + P5]]*VLOOKUP(MONTH(Tabla19[[#This Row],[Fecha final]]),Tabla20[#All],6,FALSE)</f>
        <v>0</v>
      </c>
      <c r="M41" s="16">
        <f>Tabla19[[#This Row],[P3 + P6]]*VLOOKUP(MONTH(Tabla19[[#This Row],[Fecha final]]),Tabla20[#All],7,FALSE)</f>
        <v>25.2072</v>
      </c>
      <c r="N41" s="16">
        <f>YEAR(Tabla19[[#This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261</v>
      </c>
      <c r="B47" s="16" t="s">
        <v>76</v>
      </c>
      <c r="C47" s="16">
        <v>16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75</v>
      </c>
      <c r="B48" s="16" t="s">
        <v>261</v>
      </c>
      <c r="C48" s="16">
        <v>15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74</v>
      </c>
      <c r="B49" s="16" t="s">
        <v>75</v>
      </c>
      <c r="C49" s="16">
        <v>28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73</v>
      </c>
      <c r="B50" s="16" t="s">
        <v>74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72</v>
      </c>
      <c r="B51" s="16" t="s">
        <v>73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71</v>
      </c>
      <c r="B52" s="16" t="s">
        <v>72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70</v>
      </c>
      <c r="B53" s="16" t="s">
        <v>71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69</v>
      </c>
      <c r="B54" s="16" t="s">
        <v>70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68</v>
      </c>
      <c r="B55" s="16" t="s">
        <v>69</v>
      </c>
      <c r="C55" s="16">
        <v>31</v>
      </c>
      <c r="D55" s="16" t="s">
        <v>42</v>
      </c>
      <c r="E55" s="16">
        <v>41</v>
      </c>
      <c r="F55" s="16">
        <v>0</v>
      </c>
      <c r="G55" s="16">
        <v>56</v>
      </c>
    </row>
    <row r="56" spans="1:7">
      <c r="A56" s="16" t="s">
        <v>67</v>
      </c>
      <c r="B56" s="16" t="s">
        <v>68</v>
      </c>
      <c r="C56" s="16">
        <v>31</v>
      </c>
      <c r="D56" s="16" t="s">
        <v>42</v>
      </c>
      <c r="E56" s="16">
        <v>68</v>
      </c>
      <c r="F56" s="16">
        <v>34</v>
      </c>
      <c r="G56" s="16">
        <v>0</v>
      </c>
    </row>
    <row r="57" spans="1:7">
      <c r="A57" s="16" t="s">
        <v>66</v>
      </c>
      <c r="B57" s="16" t="s">
        <v>67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65</v>
      </c>
      <c r="B58" s="16" t="s">
        <v>66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65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33</v>
      </c>
      <c r="F61" s="16">
        <v>0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113</v>
      </c>
      <c r="F62" s="16">
        <v>48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16</v>
      </c>
      <c r="F64" s="16">
        <v>0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55</v>
      </c>
      <c r="B66" s="16" t="s">
        <v>57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54</v>
      </c>
      <c r="B67" s="16" t="s">
        <v>55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53</v>
      </c>
      <c r="B68" s="16" t="s">
        <v>54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52</v>
      </c>
      <c r="B69" s="16" t="s">
        <v>53</v>
      </c>
      <c r="C69" s="16">
        <v>31</v>
      </c>
      <c r="D69" s="16" t="s">
        <v>42</v>
      </c>
      <c r="E69" s="16">
        <v>60</v>
      </c>
      <c r="F69" s="16">
        <v>42</v>
      </c>
      <c r="G69" s="16">
        <v>0</v>
      </c>
    </row>
    <row r="70" spans="1:7">
      <c r="A70" s="16" t="s">
        <v>51</v>
      </c>
      <c r="B70" s="16" t="s">
        <v>52</v>
      </c>
      <c r="C70" s="16">
        <v>30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50</v>
      </c>
      <c r="B71" s="16" t="s">
        <v>51</v>
      </c>
      <c r="C71" s="16">
        <v>31</v>
      </c>
      <c r="D71" s="16" t="s">
        <v>42</v>
      </c>
      <c r="E71" s="16">
        <v>1</v>
      </c>
      <c r="F71" s="16">
        <v>6</v>
      </c>
      <c r="G71" s="16">
        <v>2</v>
      </c>
    </row>
    <row r="72" spans="1:7">
      <c r="A72" s="16" t="s">
        <v>48</v>
      </c>
      <c r="B72" s="16" t="s">
        <v>50</v>
      </c>
      <c r="C72" s="16">
        <v>30</v>
      </c>
      <c r="D72" s="16" t="s">
        <v>42</v>
      </c>
      <c r="E72" s="16">
        <v>5</v>
      </c>
      <c r="F72" s="16">
        <v>4</v>
      </c>
      <c r="G72" s="16">
        <v>0</v>
      </c>
    </row>
    <row r="73" spans="1:7">
      <c r="A73" s="16" t="s">
        <v>47</v>
      </c>
      <c r="B73" s="16" t="s">
        <v>48</v>
      </c>
      <c r="C73" s="16">
        <v>31</v>
      </c>
      <c r="D73" s="16" t="s">
        <v>42</v>
      </c>
      <c r="E73" s="16">
        <v>0</v>
      </c>
      <c r="F73" s="16">
        <v>84</v>
      </c>
      <c r="G73" s="16">
        <v>1</v>
      </c>
    </row>
    <row r="74" spans="1:7">
      <c r="A74" s="16" t="s">
        <v>46</v>
      </c>
      <c r="B74" s="16" t="s">
        <v>47</v>
      </c>
      <c r="C74" s="16">
        <v>28</v>
      </c>
      <c r="D74" s="16" t="s">
        <v>42</v>
      </c>
      <c r="E74" s="16">
        <v>1</v>
      </c>
      <c r="F74" s="16">
        <v>194</v>
      </c>
      <c r="G74" s="16">
        <v>1</v>
      </c>
    </row>
    <row r="75" spans="1:7">
      <c r="A75" s="16" t="s">
        <v>262</v>
      </c>
      <c r="B75" s="16" t="s">
        <v>46</v>
      </c>
      <c r="C75" s="16">
        <v>27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263</v>
      </c>
      <c r="B76" s="16" t="s">
        <v>262</v>
      </c>
      <c r="C76" s="16">
        <v>34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43</v>
      </c>
      <c r="B77" s="16" t="s">
        <v>263</v>
      </c>
      <c r="C77" s="16">
        <v>31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41</v>
      </c>
      <c r="B78" s="16" t="s">
        <v>43</v>
      </c>
      <c r="C78" s="16">
        <v>31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78</v>
      </c>
      <c r="B79" s="16" t="s">
        <v>41</v>
      </c>
      <c r="C79" s="16">
        <v>30</v>
      </c>
      <c r="D79" s="16" t="s">
        <v>42</v>
      </c>
      <c r="E79" s="16">
        <v>49</v>
      </c>
      <c r="F79" s="16">
        <v>28</v>
      </c>
      <c r="G79" s="16">
        <v>0</v>
      </c>
    </row>
    <row r="80" spans="1:7">
      <c r="A80" s="16" t="s">
        <v>88</v>
      </c>
      <c r="B80" s="16" t="s">
        <v>78</v>
      </c>
      <c r="C80" s="16">
        <v>31</v>
      </c>
      <c r="D80" s="16" t="s">
        <v>42</v>
      </c>
      <c r="E80" s="16">
        <v>178</v>
      </c>
      <c r="F80" s="16">
        <v>135</v>
      </c>
      <c r="G80" s="16">
        <v>0</v>
      </c>
    </row>
    <row r="81" spans="1:7">
      <c r="A81" s="16" t="s">
        <v>89</v>
      </c>
      <c r="B81" s="16" t="s">
        <v>88</v>
      </c>
      <c r="C81" s="16">
        <v>31</v>
      </c>
      <c r="D81" s="16" t="s">
        <v>42</v>
      </c>
      <c r="E81" s="16">
        <v>162</v>
      </c>
      <c r="F81" s="16">
        <v>261</v>
      </c>
      <c r="G81" s="16">
        <v>4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19.72</v>
      </c>
      <c r="C87" s="16">
        <v>19.72</v>
      </c>
      <c r="D87" s="16">
        <v>19.72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261</v>
      </c>
      <c r="B89" s="16" t="s">
        <v>76</v>
      </c>
      <c r="C89" s="16">
        <v>16</v>
      </c>
      <c r="D89" s="16" t="s">
        <v>42</v>
      </c>
      <c r="E89" s="16">
        <v>0</v>
      </c>
      <c r="F89" s="16">
        <v>1</v>
      </c>
      <c r="G89" s="16">
        <v>0</v>
      </c>
    </row>
    <row r="90" spans="1:7">
      <c r="A90" s="16" t="s">
        <v>75</v>
      </c>
      <c r="B90" s="16" t="s">
        <v>261</v>
      </c>
      <c r="C90" s="16">
        <v>15</v>
      </c>
      <c r="D90" s="16" t="s">
        <v>42</v>
      </c>
      <c r="E90" s="16">
        <v>0</v>
      </c>
      <c r="F90" s="16">
        <v>1</v>
      </c>
      <c r="G90" s="16">
        <v>1</v>
      </c>
    </row>
    <row r="91" spans="1:7">
      <c r="A91" s="16" t="s">
        <v>74</v>
      </c>
      <c r="B91" s="16" t="s">
        <v>75</v>
      </c>
      <c r="C91" s="16">
        <v>28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73</v>
      </c>
      <c r="B92" s="16" t="s">
        <v>74</v>
      </c>
      <c r="C92" s="16">
        <v>31</v>
      </c>
      <c r="D92" s="16" t="s">
        <v>42</v>
      </c>
      <c r="E92" s="16">
        <v>13</v>
      </c>
      <c r="F92" s="16">
        <v>11</v>
      </c>
      <c r="G92" s="16">
        <v>5</v>
      </c>
    </row>
    <row r="93" spans="1:7">
      <c r="A93" s="16" t="s">
        <v>72</v>
      </c>
      <c r="B93" s="16" t="s">
        <v>73</v>
      </c>
      <c r="C93" s="16">
        <v>31</v>
      </c>
      <c r="D93" s="16" t="s">
        <v>42</v>
      </c>
      <c r="E93" s="16">
        <v>11</v>
      </c>
      <c r="F93" s="16">
        <v>6</v>
      </c>
      <c r="G93" s="16">
        <v>2</v>
      </c>
    </row>
    <row r="94" spans="1:7">
      <c r="A94" s="16" t="s">
        <v>71</v>
      </c>
      <c r="B94" s="16" t="s">
        <v>72</v>
      </c>
      <c r="C94" s="16">
        <v>30</v>
      </c>
      <c r="D94" s="16" t="s">
        <v>42</v>
      </c>
      <c r="E94" s="16">
        <v>0</v>
      </c>
      <c r="F94" s="16">
        <v>5</v>
      </c>
      <c r="G94" s="16">
        <v>5</v>
      </c>
    </row>
    <row r="95" spans="1:7">
      <c r="A95" s="16" t="s">
        <v>70</v>
      </c>
      <c r="B95" s="16" t="s">
        <v>71</v>
      </c>
      <c r="C95" s="16">
        <v>31</v>
      </c>
      <c r="D95" s="16" t="s">
        <v>42</v>
      </c>
      <c r="E95" s="16">
        <v>8</v>
      </c>
      <c r="F95" s="16">
        <v>8</v>
      </c>
      <c r="G95" s="16">
        <v>2</v>
      </c>
    </row>
    <row r="96" spans="1:7">
      <c r="A96" s="16" t="s">
        <v>69</v>
      </c>
      <c r="B96" s="16" t="s">
        <v>70</v>
      </c>
      <c r="C96" s="16">
        <v>30</v>
      </c>
      <c r="D96" s="16" t="s">
        <v>42</v>
      </c>
      <c r="E96" s="16">
        <v>3</v>
      </c>
      <c r="F96" s="16">
        <v>0</v>
      </c>
      <c r="G96" s="16">
        <v>3</v>
      </c>
    </row>
    <row r="97" spans="1:7">
      <c r="A97" s="16" t="s">
        <v>68</v>
      </c>
      <c r="B97" s="16" t="s">
        <v>69</v>
      </c>
      <c r="C97" s="16">
        <v>31</v>
      </c>
      <c r="D97" s="16" t="s">
        <v>42</v>
      </c>
      <c r="E97" s="16">
        <v>9</v>
      </c>
      <c r="F97" s="16">
        <v>0</v>
      </c>
      <c r="G97" s="16">
        <v>9</v>
      </c>
    </row>
    <row r="98" spans="1:7">
      <c r="A98" s="16" t="s">
        <v>67</v>
      </c>
      <c r="B98" s="16" t="s">
        <v>68</v>
      </c>
      <c r="C98" s="16">
        <v>31</v>
      </c>
      <c r="D98" s="16" t="s">
        <v>42</v>
      </c>
      <c r="E98" s="16">
        <v>10</v>
      </c>
      <c r="F98" s="16">
        <v>11</v>
      </c>
      <c r="G98" s="16">
        <v>4</v>
      </c>
    </row>
    <row r="99" spans="1:7">
      <c r="A99" s="16" t="s">
        <v>66</v>
      </c>
      <c r="B99" s="16" t="s">
        <v>67</v>
      </c>
      <c r="C99" s="16">
        <v>30</v>
      </c>
      <c r="D99" s="16" t="s">
        <v>42</v>
      </c>
      <c r="E99" s="16">
        <v>10</v>
      </c>
      <c r="F99" s="16">
        <v>0</v>
      </c>
      <c r="G99" s="16">
        <v>10</v>
      </c>
    </row>
    <row r="100" spans="1:7">
      <c r="A100" s="16" t="s">
        <v>65</v>
      </c>
      <c r="B100" s="16" t="s">
        <v>66</v>
      </c>
      <c r="C100" s="16">
        <v>31</v>
      </c>
      <c r="D100" s="16" t="s">
        <v>42</v>
      </c>
      <c r="E100" s="16">
        <v>3</v>
      </c>
      <c r="F100" s="16">
        <v>7</v>
      </c>
      <c r="G100" s="16">
        <v>2</v>
      </c>
    </row>
    <row r="101" spans="1:7">
      <c r="A101" s="16" t="s">
        <v>63</v>
      </c>
      <c r="B101" s="16" t="s">
        <v>65</v>
      </c>
      <c r="C101" s="16">
        <v>30</v>
      </c>
      <c r="D101" s="16" t="s">
        <v>42</v>
      </c>
      <c r="E101" s="16">
        <v>11</v>
      </c>
      <c r="F101" s="16">
        <v>9</v>
      </c>
      <c r="G101" s="16">
        <v>2</v>
      </c>
    </row>
    <row r="102" spans="1:7">
      <c r="A102" s="16" t="s">
        <v>62</v>
      </c>
      <c r="B102" s="16" t="s">
        <v>63</v>
      </c>
      <c r="C102" s="16">
        <v>31</v>
      </c>
      <c r="D102" s="16" t="s">
        <v>42</v>
      </c>
      <c r="E102" s="16">
        <v>0</v>
      </c>
      <c r="F102" s="16">
        <v>16</v>
      </c>
      <c r="G102" s="16">
        <v>8</v>
      </c>
    </row>
    <row r="103" spans="1:7">
      <c r="A103" s="16" t="s">
        <v>61</v>
      </c>
      <c r="B103" s="16" t="s">
        <v>62</v>
      </c>
      <c r="C103" s="16">
        <v>28</v>
      </c>
      <c r="D103" s="16" t="s">
        <v>42</v>
      </c>
      <c r="E103" s="16">
        <v>11</v>
      </c>
      <c r="F103" s="16">
        <v>10</v>
      </c>
      <c r="G103" s="16">
        <v>3</v>
      </c>
    </row>
    <row r="104" spans="1:7">
      <c r="A104" s="16" t="s">
        <v>60</v>
      </c>
      <c r="B104" s="16" t="s">
        <v>61</v>
      </c>
      <c r="C104" s="16">
        <v>31</v>
      </c>
      <c r="D104" s="16" t="s">
        <v>42</v>
      </c>
      <c r="E104" s="16">
        <v>9</v>
      </c>
      <c r="F104" s="16">
        <v>9</v>
      </c>
      <c r="G104" s="16">
        <v>2</v>
      </c>
    </row>
    <row r="105" spans="1:7">
      <c r="A105" s="16" t="s">
        <v>59</v>
      </c>
      <c r="B105" s="16" t="s">
        <v>60</v>
      </c>
      <c r="C105" s="16">
        <v>29</v>
      </c>
      <c r="D105" s="16" t="s">
        <v>42</v>
      </c>
      <c r="E105" s="16">
        <v>9</v>
      </c>
      <c r="F105" s="16">
        <v>4</v>
      </c>
      <c r="G105" s="16">
        <v>1</v>
      </c>
    </row>
    <row r="106" spans="1:7">
      <c r="A106" s="16" t="s">
        <v>58</v>
      </c>
      <c r="B106" s="16" t="s">
        <v>59</v>
      </c>
      <c r="C106" s="16">
        <v>2</v>
      </c>
      <c r="D106" s="16" t="s">
        <v>42</v>
      </c>
      <c r="E106" s="16">
        <v>19.72</v>
      </c>
      <c r="F106" s="16">
        <v>19.72</v>
      </c>
      <c r="G106" s="16">
        <v>19.72</v>
      </c>
    </row>
    <row r="107" spans="1:7">
      <c r="A107" s="16" t="s">
        <v>57</v>
      </c>
      <c r="B107" s="16" t="s">
        <v>58</v>
      </c>
      <c r="C107" s="16">
        <v>30</v>
      </c>
      <c r="D107" s="16" t="s">
        <v>42</v>
      </c>
      <c r="E107" s="16">
        <v>19.72</v>
      </c>
      <c r="F107" s="16">
        <v>19.72</v>
      </c>
      <c r="G107" s="16">
        <v>19.72</v>
      </c>
    </row>
    <row r="108" spans="1:7">
      <c r="A108" s="16" t="s">
        <v>55</v>
      </c>
      <c r="B108" s="16" t="s">
        <v>57</v>
      </c>
      <c r="C108" s="16">
        <v>31</v>
      </c>
      <c r="D108" s="16" t="s">
        <v>42</v>
      </c>
      <c r="E108" s="16">
        <v>19.72</v>
      </c>
      <c r="F108" s="16">
        <v>19.72</v>
      </c>
      <c r="G108" s="16">
        <v>19.72</v>
      </c>
    </row>
    <row r="109" spans="1:7">
      <c r="A109" s="16" t="s">
        <v>54</v>
      </c>
      <c r="B109" s="16" t="s">
        <v>55</v>
      </c>
      <c r="C109" s="16">
        <v>30</v>
      </c>
      <c r="D109" s="16" t="s">
        <v>42</v>
      </c>
      <c r="E109" s="16">
        <v>19.72</v>
      </c>
      <c r="F109" s="16">
        <v>19.72</v>
      </c>
      <c r="G109" s="16">
        <v>19.72</v>
      </c>
    </row>
    <row r="110" spans="1:7">
      <c r="A110" s="16" t="s">
        <v>53</v>
      </c>
      <c r="B110" s="16" t="s">
        <v>54</v>
      </c>
      <c r="C110" s="16">
        <v>31</v>
      </c>
      <c r="D110" s="16" t="s">
        <v>42</v>
      </c>
      <c r="E110" s="16">
        <v>19.72</v>
      </c>
      <c r="F110" s="16">
        <v>19.72</v>
      </c>
      <c r="G110" s="16">
        <v>19.72</v>
      </c>
    </row>
    <row r="111" spans="1:7">
      <c r="A111" s="16" t="s">
        <v>52</v>
      </c>
      <c r="B111" s="16" t="s">
        <v>53</v>
      </c>
      <c r="C111" s="16">
        <v>31</v>
      </c>
      <c r="D111" s="16" t="s">
        <v>42</v>
      </c>
      <c r="E111" s="16">
        <v>19.72</v>
      </c>
      <c r="F111" s="16">
        <v>19.72</v>
      </c>
      <c r="G111" s="16">
        <v>19.72</v>
      </c>
    </row>
    <row r="112" spans="1:7">
      <c r="A112" s="16" t="s">
        <v>51</v>
      </c>
      <c r="B112" s="16" t="s">
        <v>52</v>
      </c>
      <c r="C112" s="16">
        <v>30</v>
      </c>
      <c r="D112" s="16" t="s">
        <v>42</v>
      </c>
      <c r="E112" s="16">
        <v>19.72</v>
      </c>
      <c r="F112" s="16">
        <v>19.72</v>
      </c>
      <c r="G112" s="16">
        <v>19.72</v>
      </c>
    </row>
    <row r="113" spans="1:7">
      <c r="A113" s="16" t="s">
        <v>50</v>
      </c>
      <c r="B113" s="16" t="s">
        <v>51</v>
      </c>
      <c r="C113" s="16">
        <v>31</v>
      </c>
      <c r="D113" s="16" t="s">
        <v>42</v>
      </c>
      <c r="E113" s="16">
        <v>1</v>
      </c>
      <c r="F113" s="16">
        <v>1</v>
      </c>
      <c r="G113" s="16">
        <v>0</v>
      </c>
    </row>
    <row r="114" spans="1:7">
      <c r="A114" s="16" t="s">
        <v>48</v>
      </c>
      <c r="B114" s="16" t="s">
        <v>50</v>
      </c>
      <c r="C114" s="16">
        <v>30</v>
      </c>
      <c r="D114" s="16" t="s">
        <v>42</v>
      </c>
      <c r="E114" s="16">
        <v>3</v>
      </c>
      <c r="F114" s="16">
        <v>3</v>
      </c>
      <c r="G114" s="16">
        <v>1</v>
      </c>
    </row>
    <row r="115" spans="1:7">
      <c r="A115" s="16" t="s">
        <v>47</v>
      </c>
      <c r="B115" s="16" t="s">
        <v>48</v>
      </c>
      <c r="C115" s="16">
        <v>31</v>
      </c>
      <c r="D115" s="16" t="s">
        <v>42</v>
      </c>
      <c r="E115" s="16">
        <v>3</v>
      </c>
      <c r="F115" s="16">
        <v>10</v>
      </c>
      <c r="G115" s="16">
        <v>2</v>
      </c>
    </row>
    <row r="116" spans="1:7">
      <c r="A116" s="16" t="s">
        <v>46</v>
      </c>
      <c r="B116" s="16" t="s">
        <v>47</v>
      </c>
      <c r="C116" s="16">
        <v>28</v>
      </c>
      <c r="D116" s="16" t="s">
        <v>42</v>
      </c>
      <c r="E116" s="16">
        <v>0</v>
      </c>
      <c r="F116" s="16">
        <v>11</v>
      </c>
      <c r="G116" s="16">
        <v>2</v>
      </c>
    </row>
    <row r="117" spans="1:7">
      <c r="A117" s="16" t="s">
        <v>262</v>
      </c>
      <c r="B117" s="16" t="s">
        <v>46</v>
      </c>
      <c r="C117" s="16">
        <v>27</v>
      </c>
      <c r="D117" s="16" t="s">
        <v>42</v>
      </c>
      <c r="E117" s="16">
        <v>1</v>
      </c>
      <c r="F117" s="16">
        <v>11</v>
      </c>
      <c r="G117" s="16">
        <v>2</v>
      </c>
    </row>
    <row r="118" spans="1:7">
      <c r="A118" s="16" t="s">
        <v>263</v>
      </c>
      <c r="B118" s="16" t="s">
        <v>262</v>
      </c>
      <c r="C118" s="16">
        <v>34</v>
      </c>
      <c r="D118" s="16" t="s">
        <v>42</v>
      </c>
      <c r="E118" s="16">
        <v>16</v>
      </c>
      <c r="F118" s="16">
        <v>16</v>
      </c>
      <c r="G118" s="16">
        <v>16</v>
      </c>
    </row>
    <row r="119" spans="1:7">
      <c r="A119" s="16" t="s">
        <v>43</v>
      </c>
      <c r="B119" s="16" t="s">
        <v>263</v>
      </c>
      <c r="C119" s="16">
        <v>31</v>
      </c>
      <c r="D119" s="16" t="s">
        <v>42</v>
      </c>
      <c r="E119" s="16">
        <v>16</v>
      </c>
      <c r="F119" s="16">
        <v>16</v>
      </c>
      <c r="G119" s="16">
        <v>16</v>
      </c>
    </row>
    <row r="120" spans="1:7">
      <c r="A120" s="16" t="s">
        <v>41</v>
      </c>
      <c r="B120" s="16" t="s">
        <v>43</v>
      </c>
      <c r="C120" s="16">
        <v>31</v>
      </c>
      <c r="D120" s="16" t="s">
        <v>42</v>
      </c>
      <c r="E120" s="16">
        <v>0</v>
      </c>
      <c r="F120" s="16">
        <v>3</v>
      </c>
      <c r="G120" s="16">
        <v>2</v>
      </c>
    </row>
    <row r="121" spans="1:7">
      <c r="A121" s="16" t="s">
        <v>78</v>
      </c>
      <c r="B121" s="16" t="s">
        <v>41</v>
      </c>
      <c r="C121" s="16">
        <v>30</v>
      </c>
      <c r="D121" s="16" t="s">
        <v>42</v>
      </c>
      <c r="E121" s="16">
        <v>8</v>
      </c>
      <c r="F121" s="16">
        <v>8</v>
      </c>
      <c r="G121" s="16">
        <v>2</v>
      </c>
    </row>
    <row r="122" spans="1:7">
      <c r="A122" s="16" t="s">
        <v>88</v>
      </c>
      <c r="B122" s="16" t="s">
        <v>78</v>
      </c>
      <c r="C122" s="16">
        <v>31</v>
      </c>
      <c r="D122" s="16" t="s">
        <v>42</v>
      </c>
      <c r="E122" s="16">
        <v>6</v>
      </c>
      <c r="F122" s="16">
        <v>4</v>
      </c>
      <c r="G122" s="16">
        <v>2</v>
      </c>
    </row>
    <row r="123" spans="1:7">
      <c r="A123" s="16" t="s">
        <v>89</v>
      </c>
      <c r="B123" s="16" t="s">
        <v>88</v>
      </c>
      <c r="C123" s="16">
        <v>31</v>
      </c>
      <c r="D123" s="16" t="s">
        <v>42</v>
      </c>
      <c r="E123" s="16">
        <v>11</v>
      </c>
      <c r="F123" s="16">
        <v>11</v>
      </c>
      <c r="G123" s="16">
        <v>4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37A4-4048-466B-BE4F-612E46397CCB}">
  <dimension ref="A1:N129"/>
  <sheetViews>
    <sheetView workbookViewId="0">
      <selection activeCell="H26" sqref="H26:N26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308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2219</v>
      </c>
      <c r="C4" s="16">
        <v>1573</v>
      </c>
      <c r="D4" s="16">
        <v>1557</v>
      </c>
    </row>
    <row r="5" spans="1:14">
      <c r="A5" s="16" t="s">
        <v>36</v>
      </c>
      <c r="B5" s="16">
        <v>41</v>
      </c>
      <c r="C5" s="16">
        <v>29</v>
      </c>
      <c r="D5" s="16">
        <v>29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310</v>
      </c>
    </row>
    <row r="7" spans="1:14" hidden="1">
      <c r="A7" s="17">
        <v>44012</v>
      </c>
      <c r="B7" s="16" t="s">
        <v>88</v>
      </c>
      <c r="C7" s="16">
        <v>31</v>
      </c>
      <c r="D7" s="16" t="s">
        <v>42</v>
      </c>
      <c r="E7" s="16">
        <v>379</v>
      </c>
      <c r="F7" s="16">
        <v>561</v>
      </c>
      <c r="G7" s="16">
        <v>92</v>
      </c>
      <c r="H7" s="16">
        <f>Tabla23[[#This Row],[P1 + P4]]*VLOOKUP(MONTH(Tabla23[[#This Row],[Fecha final]]),Tabla20[#All],2,FALSE)</f>
        <v>379</v>
      </c>
      <c r="I7" s="16">
        <f>Tabla23[[#This Row],[P2 + P5]]*VLOOKUP(MONTH(Tabla23[[#This Row],[Fecha final]]),Tabla20[#All],3,FALSE)</f>
        <v>561</v>
      </c>
      <c r="J7" s="16">
        <f>(Tabla23[[#This Row],[P3 + P6]])*VLOOKUP(MONTH(Tabla23[[#This Row],[Fecha final]]),Tabla20[#All],4,FALSE)</f>
        <v>0</v>
      </c>
      <c r="K7" s="16">
        <f>Tabla23[[#This Row],[P1 + P4]]*VLOOKUP(MONTH(Tabla23[[#This Row],[Fecha final]]),Tabla20[#All],5,FALSE)</f>
        <v>0</v>
      </c>
      <c r="L7" s="16">
        <f>Tabla23[[#This Row],[P2 + P5]]*VLOOKUP(MONTH(Tabla23[[#This Row],[Fecha final]]),Tabla20[#All],6,FALSE)</f>
        <v>0</v>
      </c>
      <c r="M7" s="16">
        <f>Tabla23[[#This Row],[P3 + P6]]*VLOOKUP(MONTH(Tabla23[[#This Row],[Fecha final]]),Tabla20[#All],7,FALSE)</f>
        <v>92</v>
      </c>
      <c r="N7" s="16">
        <f>YEAR(Tabla23[[#This Row],[Fecha final]])</f>
        <v>2020</v>
      </c>
    </row>
    <row r="8" spans="1:14" hidden="1">
      <c r="A8" s="17">
        <v>44043</v>
      </c>
      <c r="B8" s="16" t="s">
        <v>78</v>
      </c>
      <c r="C8" s="16">
        <v>31</v>
      </c>
      <c r="D8" s="16" t="s">
        <v>42</v>
      </c>
      <c r="E8" s="16">
        <v>404</v>
      </c>
      <c r="F8" s="16">
        <v>580</v>
      </c>
      <c r="G8" s="16">
        <v>134</v>
      </c>
      <c r="H8" s="16">
        <f>Tabla23[[#This Row],[P1 + P4]]*VLOOKUP(MONTH(Tabla23[[#This Row],[Fecha final]]),Tabla20[#All],2,FALSE)</f>
        <v>0</v>
      </c>
      <c r="I8" s="16">
        <f>Tabla23[[#This Row],[P2 + P5]]*VLOOKUP(MONTH(Tabla23[[#This Row],[Fecha final]]),Tabla20[#All],3,FALSE)</f>
        <v>0</v>
      </c>
      <c r="J8" s="16">
        <f>(Tabla23[[#This Row],[P3 + P6]])*VLOOKUP(MONTH(Tabla23[[#This Row],[Fecha final]]),Tabla20[#All],4,FALSE)</f>
        <v>44.970399999999998</v>
      </c>
      <c r="K8" s="16">
        <f>Tabla23[[#This Row],[P1 + P4]]*VLOOKUP(MONTH(Tabla23[[#This Row],[Fecha final]]),Tabla20[#All],5,FALSE)</f>
        <v>404</v>
      </c>
      <c r="L8" s="16">
        <f>Tabla23[[#This Row],[P2 + P5]]*VLOOKUP(MONTH(Tabla23[[#This Row],[Fecha final]]),Tabla20[#All],6,FALSE)</f>
        <v>0</v>
      </c>
      <c r="M8" s="16">
        <f>Tabla23[[#This Row],[P3 + P6]]*VLOOKUP(MONTH(Tabla23[[#This Row],[Fecha final]]),Tabla20[#All],7,FALSE)</f>
        <v>89.029600000000002</v>
      </c>
      <c r="N8" s="16">
        <f>YEAR(Tabla23[[#This Row],[Fecha final]])</f>
        <v>2020</v>
      </c>
    </row>
    <row r="9" spans="1:14" hidden="1">
      <c r="A9" s="17">
        <v>44074</v>
      </c>
      <c r="B9" s="16" t="s">
        <v>41</v>
      </c>
      <c r="C9" s="16">
        <v>30</v>
      </c>
      <c r="D9" s="16" t="s">
        <v>42</v>
      </c>
      <c r="E9" s="16">
        <v>195</v>
      </c>
      <c r="F9" s="16">
        <v>406</v>
      </c>
      <c r="G9" s="16">
        <v>89</v>
      </c>
      <c r="H9" s="16">
        <f>Tabla23[[#This Row],[P1 + P4]]*VLOOKUP(MONTH(Tabla23[[#This Row],[Fecha final]]),Tabla20[#All],2,FALSE)</f>
        <v>0</v>
      </c>
      <c r="I9" s="16">
        <f>Tabla23[[#This Row],[P2 + P5]]*VLOOKUP(MONTH(Tabla23[[#This Row],[Fecha final]]),Tabla20[#All],3,FALSE)</f>
        <v>0</v>
      </c>
      <c r="J9" s="16">
        <f>(Tabla23[[#This Row],[P3 + P6]])*VLOOKUP(MONTH(Tabla23[[#This Row],[Fecha final]]),Tabla20[#All],4,FALSE)</f>
        <v>31.132200000000001</v>
      </c>
      <c r="K9" s="16">
        <f>Tabla23[[#This Row],[P1 + P4]]*VLOOKUP(MONTH(Tabla23[[#This Row],[Fecha final]]),Tabla20[#All],5,FALSE)</f>
        <v>195</v>
      </c>
      <c r="L9" s="16">
        <f>Tabla23[[#This Row],[P2 + P5]]*VLOOKUP(MONTH(Tabla23[[#This Row],[Fecha final]]),Tabla20[#All],6,FALSE)</f>
        <v>0</v>
      </c>
      <c r="M9" s="16">
        <f>Tabla23[[#This Row],[P3 + P6]]*VLOOKUP(MONTH(Tabla23[[#This Row],[Fecha final]]),Tabla20[#All],7,FALSE)</f>
        <v>57.867800000000003</v>
      </c>
      <c r="N9" s="16">
        <f>YEAR(Tabla23[[#This Row],[Fecha final]])</f>
        <v>2020</v>
      </c>
    </row>
    <row r="10" spans="1:14" hidden="1">
      <c r="A10" s="17">
        <v>44104</v>
      </c>
      <c r="B10" s="16" t="s">
        <v>43</v>
      </c>
      <c r="C10" s="16">
        <v>31</v>
      </c>
      <c r="D10" s="16" t="s">
        <v>42</v>
      </c>
      <c r="E10" s="16">
        <v>133</v>
      </c>
      <c r="F10" s="16">
        <v>318</v>
      </c>
      <c r="G10" s="16">
        <v>91</v>
      </c>
      <c r="H10" s="16">
        <f>Tabla23[[#This Row],[P1 + P4]]*VLOOKUP(MONTH(Tabla23[[#This Row],[Fecha final]]),Tabla20[#All],2,FALSE)</f>
        <v>0</v>
      </c>
      <c r="I10" s="16">
        <f>Tabla23[[#This Row],[P2 + P5]]*VLOOKUP(MONTH(Tabla23[[#This Row],[Fecha final]]),Tabla20[#All],3,FALSE)</f>
        <v>0</v>
      </c>
      <c r="J10" s="16">
        <f>(Tabla23[[#This Row],[P3 + P6]])*VLOOKUP(MONTH(Tabla23[[#This Row],[Fecha final]]),Tabla20[#All],4,FALSE)</f>
        <v>0</v>
      </c>
      <c r="K10" s="16">
        <f>Tabla23[[#This Row],[P1 + P4]]*VLOOKUP(MONTH(Tabla23[[#This Row],[Fecha final]]),Tabla20[#All],5,FALSE)</f>
        <v>133</v>
      </c>
      <c r="L10" s="16">
        <f>Tabla23[[#This Row],[P2 + P5]]*VLOOKUP(MONTH(Tabla23[[#This Row],[Fecha final]]),Tabla20[#All],6,FALSE)</f>
        <v>318</v>
      </c>
      <c r="M10" s="16">
        <f>Tabla23[[#This Row],[P3 + P6]]*VLOOKUP(MONTH(Tabla23[[#This Row],[Fecha final]]),Tabla20[#All],7,FALSE)</f>
        <v>91</v>
      </c>
      <c r="N10" s="16">
        <f>YEAR(Tabla23[[#This Row],[Fecha final]])</f>
        <v>2020</v>
      </c>
    </row>
    <row r="11" spans="1:14" hidden="1">
      <c r="A11" s="17">
        <v>44135</v>
      </c>
      <c r="B11" s="16" t="s">
        <v>44</v>
      </c>
      <c r="C11" s="16">
        <v>30</v>
      </c>
      <c r="D11" s="16" t="s">
        <v>42</v>
      </c>
      <c r="E11" s="16">
        <v>83</v>
      </c>
      <c r="F11" s="16">
        <v>546</v>
      </c>
      <c r="G11" s="16">
        <v>102</v>
      </c>
      <c r="H11" s="16">
        <f>Tabla23[[#This Row],[P1 + P4]]*VLOOKUP(MONTH(Tabla23[[#This Row],[Fecha final]]),Tabla20[#All],2,FALSE)</f>
        <v>0</v>
      </c>
      <c r="I11" s="16">
        <f>Tabla23[[#This Row],[P2 + P5]]*VLOOKUP(MONTH(Tabla23[[#This Row],[Fecha final]]),Tabla20[#All],3,FALSE)</f>
        <v>546</v>
      </c>
      <c r="J11" s="16">
        <f>(Tabla23[[#This Row],[P3 + P6]])*VLOOKUP(MONTH(Tabla23[[#This Row],[Fecha final]]),Tabla20[#All],4,FALSE)</f>
        <v>28.233599999999999</v>
      </c>
      <c r="K11" s="16">
        <f>Tabla23[[#This Row],[P1 + P4]]*VLOOKUP(MONTH(Tabla23[[#This Row],[Fecha final]]),Tabla20[#All],5,FALSE)</f>
        <v>0</v>
      </c>
      <c r="L11" s="16">
        <f>Tabla23[[#This Row],[P2 + P5]]*VLOOKUP(MONTH(Tabla23[[#This Row],[Fecha final]]),Tabla20[#All],6,FALSE)</f>
        <v>0</v>
      </c>
      <c r="M11" s="16">
        <f>Tabla23[[#This Row],[P3 + P6]]*VLOOKUP(MONTH(Tabla23[[#This Row],[Fecha final]]),Tabla20[#All],7,FALSE)</f>
        <v>73.76639999999999</v>
      </c>
      <c r="N11" s="16">
        <f>YEAR(Tabla23[[#This Row],[Fecha final]])</f>
        <v>2020</v>
      </c>
    </row>
    <row r="12" spans="1:14" hidden="1">
      <c r="A12" s="17">
        <v>44165</v>
      </c>
      <c r="B12" s="16" t="s">
        <v>45</v>
      </c>
      <c r="C12" s="16">
        <v>31</v>
      </c>
      <c r="D12" s="16" t="s">
        <v>42</v>
      </c>
      <c r="E12" s="16">
        <v>148</v>
      </c>
      <c r="F12" s="16">
        <v>1137</v>
      </c>
      <c r="G12" s="16">
        <v>240</v>
      </c>
      <c r="H12" s="16">
        <f>Tabla23[[#This Row],[P1 + P4]]*VLOOKUP(MONTH(Tabla23[[#This Row],[Fecha final]]),Tabla20[#All],2,FALSE)</f>
        <v>148</v>
      </c>
      <c r="I12" s="16">
        <f>Tabla23[[#This Row],[P2 + P5]]*VLOOKUP(MONTH(Tabla23[[#This Row],[Fecha final]]),Tabla20[#All],3,FALSE)</f>
        <v>1137</v>
      </c>
      <c r="J12" s="16">
        <f>(Tabla23[[#This Row],[P3 + P6]])*VLOOKUP(MONTH(Tabla23[[#This Row],[Fecha final]]),Tabla20[#All],4,FALSE)</f>
        <v>0</v>
      </c>
      <c r="K12" s="16">
        <f>Tabla23[[#This Row],[P1 + P4]]*VLOOKUP(MONTH(Tabla23[[#This Row],[Fecha final]]),Tabla20[#All],5,FALSE)</f>
        <v>0</v>
      </c>
      <c r="L12" s="16">
        <f>Tabla23[[#This Row],[P2 + P5]]*VLOOKUP(MONTH(Tabla23[[#This Row],[Fecha final]]),Tabla20[#All],6,FALSE)</f>
        <v>0</v>
      </c>
      <c r="M12" s="16">
        <f>Tabla23[[#This Row],[P3 + P6]]*VLOOKUP(MONTH(Tabla23[[#This Row],[Fecha final]]),Tabla20[#All],7,FALSE)</f>
        <v>240</v>
      </c>
      <c r="N12" s="16">
        <f>YEAR(Tabla23[[#This Row],[Fecha final]])</f>
        <v>2020</v>
      </c>
    </row>
    <row r="13" spans="1:14" hidden="1">
      <c r="A13" s="17">
        <v>44196</v>
      </c>
      <c r="B13" s="16" t="s">
        <v>46</v>
      </c>
      <c r="C13" s="16">
        <v>31</v>
      </c>
      <c r="D13" s="16" t="s">
        <v>42</v>
      </c>
      <c r="E13" s="16">
        <v>146</v>
      </c>
      <c r="F13" s="16">
        <v>762</v>
      </c>
      <c r="G13" s="16">
        <v>237</v>
      </c>
      <c r="H13" s="16">
        <f>Tabla23[[#This Row],[P1 + P4]]*VLOOKUP(MONTH(Tabla23[[#This Row],[Fecha final]]),Tabla20[#All],2,FALSE)</f>
        <v>146</v>
      </c>
      <c r="I13" s="16">
        <f>Tabla23[[#This Row],[P2 + P5]]*VLOOKUP(MONTH(Tabla23[[#This Row],[Fecha final]]),Tabla20[#All],3,FALSE)</f>
        <v>762</v>
      </c>
      <c r="J13" s="16">
        <f>(Tabla23[[#This Row],[P3 + P6]])*VLOOKUP(MONTH(Tabla23[[#This Row],[Fecha final]]),Tabla20[#All],4,FALSE)</f>
        <v>0</v>
      </c>
      <c r="K13" s="16">
        <f>Tabla23[[#This Row],[P1 + P4]]*VLOOKUP(MONTH(Tabla23[[#This Row],[Fecha final]]),Tabla20[#All],5,FALSE)</f>
        <v>0</v>
      </c>
      <c r="L13" s="16">
        <f>Tabla23[[#This Row],[P2 + P5]]*VLOOKUP(MONTH(Tabla23[[#This Row],[Fecha final]]),Tabla20[#All],6,FALSE)</f>
        <v>0</v>
      </c>
      <c r="M13" s="16">
        <f>Tabla23[[#This Row],[P3 + P6]]*VLOOKUP(MONTH(Tabla23[[#This Row],[Fecha final]]),Tabla20[#All],7,FALSE)</f>
        <v>237</v>
      </c>
      <c r="N13" s="16">
        <f>YEAR(Tabla23[[#This Row],[Fecha final]])</f>
        <v>2021</v>
      </c>
    </row>
    <row r="14" spans="1:14" hidden="1">
      <c r="A14" s="17">
        <v>44227</v>
      </c>
      <c r="B14" s="16" t="s">
        <v>47</v>
      </c>
      <c r="C14" s="16">
        <v>28</v>
      </c>
      <c r="D14" s="16" t="s">
        <v>42</v>
      </c>
      <c r="E14" s="16">
        <v>74</v>
      </c>
      <c r="F14" s="16">
        <v>1114</v>
      </c>
      <c r="G14" s="16">
        <v>92</v>
      </c>
      <c r="H14" s="16">
        <f>Tabla23[[#This Row],[P1 + P4]]*VLOOKUP(MONTH(Tabla23[[#This Row],[Fecha final]]),Tabla20[#All],2,FALSE)</f>
        <v>74</v>
      </c>
      <c r="I14" s="16">
        <f>Tabla23[[#This Row],[P2 + P5]]*VLOOKUP(MONTH(Tabla23[[#This Row],[Fecha final]]),Tabla20[#All],3,FALSE)</f>
        <v>1114</v>
      </c>
      <c r="J14" s="16">
        <f>(Tabla23[[#This Row],[P3 + P6]])*VLOOKUP(MONTH(Tabla23[[#This Row],[Fecha final]]),Tabla20[#All],4,FALSE)</f>
        <v>0</v>
      </c>
      <c r="K14" s="16">
        <f>Tabla23[[#This Row],[P1 + P4]]*VLOOKUP(MONTH(Tabla23[[#This Row],[Fecha final]]),Tabla20[#All],5,FALSE)</f>
        <v>0</v>
      </c>
      <c r="L14" s="16">
        <f>Tabla23[[#This Row],[P2 + P5]]*VLOOKUP(MONTH(Tabla23[[#This Row],[Fecha final]]),Tabla20[#All],6,FALSE)</f>
        <v>0</v>
      </c>
      <c r="M14" s="16">
        <f>Tabla23[[#This Row],[P3 + P6]]*VLOOKUP(MONTH(Tabla23[[#This Row],[Fecha final]]),Tabla20[#All],7,FALSE)</f>
        <v>92</v>
      </c>
      <c r="N14" s="16">
        <f>YEAR(Tabla23[[#This Row],[Fecha final]])</f>
        <v>2021</v>
      </c>
    </row>
    <row r="15" spans="1:14" hidden="1">
      <c r="A15" s="17">
        <v>44255</v>
      </c>
      <c r="B15" s="16" t="s">
        <v>48</v>
      </c>
      <c r="C15" s="16">
        <v>31</v>
      </c>
      <c r="D15" s="16" t="s">
        <v>42</v>
      </c>
      <c r="E15" s="16">
        <v>134</v>
      </c>
      <c r="F15" s="16">
        <v>1064</v>
      </c>
      <c r="G15" s="16">
        <v>107</v>
      </c>
      <c r="H15" s="16">
        <f>Tabla23[[#This Row],[P1 + P4]]*VLOOKUP(MONTH(Tabla23[[#This Row],[Fecha final]]),Tabla20[#All],2,FALSE)</f>
        <v>0</v>
      </c>
      <c r="I15" s="16">
        <f>Tabla23[[#This Row],[P2 + P5]]*VLOOKUP(MONTH(Tabla23[[#This Row],[Fecha final]]),Tabla20[#All],3,FALSE)</f>
        <v>1064</v>
      </c>
      <c r="J15" s="16">
        <f>(Tabla23[[#This Row],[P3 + P6]])*VLOOKUP(MONTH(Tabla23[[#This Row],[Fecha final]]),Tabla20[#All],4,FALSE)</f>
        <v>32.078600000000002</v>
      </c>
      <c r="K15" s="16">
        <f>Tabla23[[#This Row],[P1 + P4]]*VLOOKUP(MONTH(Tabla23[[#This Row],[Fecha final]]),Tabla20[#All],5,FALSE)</f>
        <v>0</v>
      </c>
      <c r="L15" s="16">
        <f>Tabla23[[#This Row],[P2 + P5]]*VLOOKUP(MONTH(Tabla23[[#This Row],[Fecha final]]),Tabla20[#All],6,FALSE)</f>
        <v>0</v>
      </c>
      <c r="M15" s="16">
        <f>Tabla23[[#This Row],[P3 + P6]]*VLOOKUP(MONTH(Tabla23[[#This Row],[Fecha final]]),Tabla20[#All],7,FALSE)</f>
        <v>74.921400000000006</v>
      </c>
      <c r="N15" s="16">
        <f>YEAR(Tabla23[[#This Row],[Fecha final]])</f>
        <v>2021</v>
      </c>
    </row>
    <row r="16" spans="1:14" hidden="1">
      <c r="A16" s="17">
        <v>44286</v>
      </c>
      <c r="B16" s="16" t="s">
        <v>50</v>
      </c>
      <c r="C16" s="16">
        <v>30</v>
      </c>
      <c r="D16" s="16" t="s">
        <v>42</v>
      </c>
      <c r="E16" s="16">
        <v>228</v>
      </c>
      <c r="F16" s="16">
        <v>486</v>
      </c>
      <c r="G16" s="16">
        <v>141</v>
      </c>
      <c r="H16" s="16">
        <f>Tabla23[[#This Row],[P1 + P4]]*VLOOKUP(MONTH(Tabla23[[#This Row],[Fecha final]]),Tabla20[#All],2,FALSE)</f>
        <v>0</v>
      </c>
      <c r="I16" s="16">
        <f>Tabla23[[#This Row],[P2 + P5]]*VLOOKUP(MONTH(Tabla23[[#This Row],[Fecha final]]),Tabla20[#All],3,FALSE)</f>
        <v>0</v>
      </c>
      <c r="J16" s="16">
        <f>(Tabla23[[#This Row],[P3 + P6]])*VLOOKUP(MONTH(Tabla23[[#This Row],[Fecha final]]),Tabla20[#All],4,FALSE)</f>
        <v>0</v>
      </c>
      <c r="K16" s="16">
        <f>Tabla23[[#This Row],[P1 + P4]]*VLOOKUP(MONTH(Tabla23[[#This Row],[Fecha final]]),Tabla20[#All],5,FALSE)</f>
        <v>228</v>
      </c>
      <c r="L16" s="16">
        <f>Tabla23[[#This Row],[P2 + P5]]*VLOOKUP(MONTH(Tabla23[[#This Row],[Fecha final]]),Tabla20[#All],6,FALSE)</f>
        <v>486</v>
      </c>
      <c r="M16" s="16">
        <f>Tabla23[[#This Row],[P3 + P6]]*VLOOKUP(MONTH(Tabla23[[#This Row],[Fecha final]]),Tabla20[#All],7,FALSE)</f>
        <v>141</v>
      </c>
      <c r="N16" s="16">
        <f>YEAR(Tabla23[[#This Row],[Fecha final]])</f>
        <v>2021</v>
      </c>
    </row>
    <row r="17" spans="1:14" hidden="1">
      <c r="A17" s="17">
        <v>44316</v>
      </c>
      <c r="B17" s="16" t="s">
        <v>51</v>
      </c>
      <c r="C17" s="16">
        <v>31</v>
      </c>
      <c r="D17" s="16" t="s">
        <v>42</v>
      </c>
      <c r="E17" s="16">
        <v>148</v>
      </c>
      <c r="F17" s="16">
        <v>344</v>
      </c>
      <c r="G17" s="16">
        <v>99</v>
      </c>
      <c r="H17" s="16">
        <f>Tabla23[[#This Row],[P1 + P4]]*VLOOKUP(MONTH(Tabla23[[#This Row],[Fecha final]]),Tabla20[#All],2,FALSE)</f>
        <v>0</v>
      </c>
      <c r="I17" s="16">
        <f>Tabla23[[#This Row],[P2 + P5]]*VLOOKUP(MONTH(Tabla23[[#This Row],[Fecha final]]),Tabla20[#All],3,FALSE)</f>
        <v>0</v>
      </c>
      <c r="J17" s="16">
        <f>(Tabla23[[#This Row],[P3 + P6]])*VLOOKUP(MONTH(Tabla23[[#This Row],[Fecha final]]),Tabla20[#All],4,FALSE)</f>
        <v>0</v>
      </c>
      <c r="K17" s="16">
        <f>Tabla23[[#This Row],[P1 + P4]]*VLOOKUP(MONTH(Tabla23[[#This Row],[Fecha final]]),Tabla20[#All],5,FALSE)</f>
        <v>148</v>
      </c>
      <c r="L17" s="16">
        <f>Tabla23[[#This Row],[P2 + P5]]*VLOOKUP(MONTH(Tabla23[[#This Row],[Fecha final]]),Tabla20[#All],6,FALSE)</f>
        <v>344</v>
      </c>
      <c r="M17" s="16">
        <f>Tabla23[[#This Row],[P3 + P6]]*VLOOKUP(MONTH(Tabla23[[#This Row],[Fecha final]]),Tabla20[#All],7,FALSE)</f>
        <v>99</v>
      </c>
      <c r="N17" s="16">
        <f>YEAR(Tabla23[[#This Row],[Fecha final]])</f>
        <v>2021</v>
      </c>
    </row>
    <row r="18" spans="1:14" hidden="1">
      <c r="A18" s="17">
        <v>44347</v>
      </c>
      <c r="B18" s="16" t="s">
        <v>52</v>
      </c>
      <c r="C18" s="16">
        <v>30</v>
      </c>
      <c r="D18" s="16" t="s">
        <v>42</v>
      </c>
      <c r="E18" s="16">
        <v>125</v>
      </c>
      <c r="F18" s="16">
        <v>0</v>
      </c>
      <c r="G18" s="16">
        <v>433</v>
      </c>
      <c r="H18" s="16">
        <f>Tabla23[[#This Row],[P1 + P4]]*VLOOKUP(MONTH(Tabla23[[#This Row],[Fecha final]]),Tabla20[#All],2,FALSE)</f>
        <v>0</v>
      </c>
      <c r="I18" s="16">
        <f>Tabla23[[#This Row],[P2 + P5]]*VLOOKUP(MONTH(Tabla23[[#This Row],[Fecha final]]),Tabla20[#All],3,FALSE)</f>
        <v>0</v>
      </c>
      <c r="J18" s="16">
        <f>(Tabla23[[#This Row],[P3 + P6]])*VLOOKUP(MONTH(Tabla23[[#This Row],[Fecha final]]),Tabla20[#All],4,FALSE)</f>
        <v>151.46340000000001</v>
      </c>
      <c r="K18" s="16">
        <f>Tabla23[[#This Row],[P1 + P4]]*VLOOKUP(MONTH(Tabla23[[#This Row],[Fecha final]]),Tabla20[#All],5,FALSE)</f>
        <v>125</v>
      </c>
      <c r="L18" s="16">
        <f>Tabla23[[#This Row],[P2 + P5]]*VLOOKUP(MONTH(Tabla23[[#This Row],[Fecha final]]),Tabla20[#All],6,FALSE)</f>
        <v>0</v>
      </c>
      <c r="M18" s="16">
        <f>Tabla23[[#This Row],[P3 + P6]]*VLOOKUP(MONTH(Tabla23[[#This Row],[Fecha final]]),Tabla20[#All],7,FALSE)</f>
        <v>281.53660000000002</v>
      </c>
      <c r="N18" s="16">
        <f>YEAR(Tabla23[[#This Row],[Fecha final]])</f>
        <v>2021</v>
      </c>
    </row>
    <row r="19" spans="1:14" hidden="1">
      <c r="A19" s="17">
        <v>44377</v>
      </c>
      <c r="B19" s="16" t="s">
        <v>53</v>
      </c>
      <c r="C19" s="16">
        <v>31</v>
      </c>
      <c r="D19" s="16" t="s">
        <v>42</v>
      </c>
      <c r="E19" s="16">
        <v>578</v>
      </c>
      <c r="F19" s="16">
        <v>209</v>
      </c>
      <c r="G19" s="16">
        <v>240</v>
      </c>
      <c r="H19" s="16">
        <f>Tabla23[[#This Row],[P1 + P4]]*VLOOKUP(MONTH(Tabla23[[#This Row],[Fecha final]]),Tabla20[#All],2,FALSE)</f>
        <v>578</v>
      </c>
      <c r="I19" s="16">
        <f>Tabla23[[#This Row],[P2 + P5]]*VLOOKUP(MONTH(Tabla23[[#This Row],[Fecha final]]),Tabla20[#All],3,FALSE)</f>
        <v>209</v>
      </c>
      <c r="J19" s="16">
        <f>(Tabla23[[#This Row],[P3 + P6]])*VLOOKUP(MONTH(Tabla23[[#This Row],[Fecha final]]),Tabla20[#All],4,FALSE)</f>
        <v>0</v>
      </c>
      <c r="K19" s="16">
        <f>Tabla23[[#This Row],[P1 + P4]]*VLOOKUP(MONTH(Tabla23[[#This Row],[Fecha final]]),Tabla20[#All],5,FALSE)</f>
        <v>0</v>
      </c>
      <c r="L19" s="16">
        <f>Tabla23[[#This Row],[P2 + P5]]*VLOOKUP(MONTH(Tabla23[[#This Row],[Fecha final]]),Tabla20[#All],6,FALSE)</f>
        <v>0</v>
      </c>
      <c r="M19" s="16">
        <f>Tabla23[[#This Row],[P3 + P6]]*VLOOKUP(MONTH(Tabla23[[#This Row],[Fecha final]]),Tabla20[#All],7,FALSE)</f>
        <v>240</v>
      </c>
      <c r="N19" s="16">
        <f>YEAR(Tabla23[[#This Row],[Fecha final]])</f>
        <v>2021</v>
      </c>
    </row>
    <row r="20" spans="1:14" hidden="1">
      <c r="A20" s="17">
        <v>44408</v>
      </c>
      <c r="B20" s="16" t="s">
        <v>54</v>
      </c>
      <c r="C20" s="16">
        <v>31</v>
      </c>
      <c r="D20" s="16" t="s">
        <v>42</v>
      </c>
      <c r="E20" s="16">
        <v>210</v>
      </c>
      <c r="F20" s="16">
        <v>0</v>
      </c>
      <c r="G20" s="16">
        <v>903</v>
      </c>
      <c r="H20" s="16">
        <f>Tabla23[[#This Row],[P1 + P4]]*VLOOKUP(MONTH(Tabla23[[#This Row],[Fecha final]]),Tabla20[#All],2,FALSE)</f>
        <v>0</v>
      </c>
      <c r="I20" s="16">
        <f>Tabla23[[#This Row],[P2 + P5]]*VLOOKUP(MONTH(Tabla23[[#This Row],[Fecha final]]),Tabla20[#All],3,FALSE)</f>
        <v>0</v>
      </c>
      <c r="J20" s="16">
        <f>(Tabla23[[#This Row],[P3 + P6]])*VLOOKUP(MONTH(Tabla23[[#This Row],[Fecha final]]),Tabla20[#All],4,FALSE)</f>
        <v>303.04680000000002</v>
      </c>
      <c r="K20" s="16">
        <f>Tabla23[[#This Row],[P1 + P4]]*VLOOKUP(MONTH(Tabla23[[#This Row],[Fecha final]]),Tabla20[#All],5,FALSE)</f>
        <v>210</v>
      </c>
      <c r="L20" s="16">
        <f>Tabla23[[#This Row],[P2 + P5]]*VLOOKUP(MONTH(Tabla23[[#This Row],[Fecha final]]),Tabla20[#All],6,FALSE)</f>
        <v>0</v>
      </c>
      <c r="M20" s="16">
        <f>Tabla23[[#This Row],[P3 + P6]]*VLOOKUP(MONTH(Tabla23[[#This Row],[Fecha final]]),Tabla20[#All],7,FALSE)</f>
        <v>599.95320000000004</v>
      </c>
      <c r="N20" s="16">
        <f>YEAR(Tabla23[[#This Row],[Fecha final]])</f>
        <v>2021</v>
      </c>
    </row>
    <row r="21" spans="1:14" hidden="1">
      <c r="A21" s="17">
        <v>44439</v>
      </c>
      <c r="B21" s="16" t="s">
        <v>55</v>
      </c>
      <c r="C21" s="16">
        <v>30</v>
      </c>
      <c r="D21" s="16" t="s">
        <v>42</v>
      </c>
      <c r="E21" s="16">
        <v>315</v>
      </c>
      <c r="F21" s="16">
        <v>0</v>
      </c>
      <c r="G21" s="16">
        <v>816</v>
      </c>
      <c r="H21" s="16">
        <f>Tabla23[[#This Row],[P1 + P4]]*VLOOKUP(MONTH(Tabla23[[#This Row],[Fecha final]]),Tabla20[#All],2,FALSE)</f>
        <v>0</v>
      </c>
      <c r="I21" s="16">
        <f>Tabla23[[#This Row],[P2 + P5]]*VLOOKUP(MONTH(Tabla23[[#This Row],[Fecha final]]),Tabla20[#All],3,FALSE)</f>
        <v>0</v>
      </c>
      <c r="J21" s="16">
        <f>(Tabla23[[#This Row],[P3 + P6]])*VLOOKUP(MONTH(Tabla23[[#This Row],[Fecha final]]),Tabla20[#All],4,FALSE)</f>
        <v>285.43680000000001</v>
      </c>
      <c r="K21" s="16">
        <f>Tabla23[[#This Row],[P1 + P4]]*VLOOKUP(MONTH(Tabla23[[#This Row],[Fecha final]]),Tabla20[#All],5,FALSE)</f>
        <v>315</v>
      </c>
      <c r="L21" s="16">
        <f>Tabla23[[#This Row],[P2 + P5]]*VLOOKUP(MONTH(Tabla23[[#This Row],[Fecha final]]),Tabla20[#All],6,FALSE)</f>
        <v>0</v>
      </c>
      <c r="M21" s="16">
        <f>Tabla23[[#This Row],[P3 + P6]]*VLOOKUP(MONTH(Tabla23[[#This Row],[Fecha final]]),Tabla20[#All],7,FALSE)</f>
        <v>530.56320000000005</v>
      </c>
      <c r="N21" s="16">
        <f>YEAR(Tabla23[[#This Row],[Fecha final]])</f>
        <v>2021</v>
      </c>
    </row>
    <row r="22" spans="1:14" hidden="1">
      <c r="A22" s="17">
        <v>44469</v>
      </c>
      <c r="B22" s="16" t="s">
        <v>57</v>
      </c>
      <c r="C22" s="16">
        <v>31</v>
      </c>
      <c r="D22" s="16" t="s">
        <v>42</v>
      </c>
      <c r="E22" s="16">
        <v>190</v>
      </c>
      <c r="F22" s="16">
        <v>142</v>
      </c>
      <c r="G22" s="16">
        <v>200</v>
      </c>
      <c r="H22" s="16">
        <f>Tabla23[[#This Row],[P1 + P4]]*VLOOKUP(MONTH(Tabla23[[#This Row],[Fecha final]]),Tabla20[#All],2,FALSE)</f>
        <v>0</v>
      </c>
      <c r="I22" s="16">
        <f>Tabla23[[#This Row],[P2 + P5]]*VLOOKUP(MONTH(Tabla23[[#This Row],[Fecha final]]),Tabla20[#All],3,FALSE)</f>
        <v>0</v>
      </c>
      <c r="J22" s="16">
        <f>(Tabla23[[#This Row],[P3 + P6]])*VLOOKUP(MONTH(Tabla23[[#This Row],[Fecha final]]),Tabla20[#All],4,FALSE)</f>
        <v>0</v>
      </c>
      <c r="K22" s="16">
        <f>Tabla23[[#This Row],[P1 + P4]]*VLOOKUP(MONTH(Tabla23[[#This Row],[Fecha final]]),Tabla20[#All],5,FALSE)</f>
        <v>190</v>
      </c>
      <c r="L22" s="16">
        <f>Tabla23[[#This Row],[P2 + P5]]*VLOOKUP(MONTH(Tabla23[[#This Row],[Fecha final]]),Tabla20[#All],6,FALSE)</f>
        <v>142</v>
      </c>
      <c r="M22" s="16">
        <f>Tabla23[[#This Row],[P3 + P6]]*VLOOKUP(MONTH(Tabla23[[#This Row],[Fecha final]]),Tabla20[#All],7,FALSE)</f>
        <v>200</v>
      </c>
      <c r="N22" s="16">
        <f>YEAR(Tabla23[[#This Row],[Fecha final]])</f>
        <v>2021</v>
      </c>
    </row>
    <row r="23" spans="1:14" hidden="1">
      <c r="A23" s="17">
        <v>44500</v>
      </c>
      <c r="B23" s="16" t="s">
        <v>115</v>
      </c>
      <c r="C23" s="16">
        <v>33</v>
      </c>
      <c r="D23" s="16" t="s">
        <v>42</v>
      </c>
      <c r="E23" s="16">
        <v>107</v>
      </c>
      <c r="F23" s="16">
        <v>514</v>
      </c>
      <c r="G23" s="16">
        <v>459</v>
      </c>
      <c r="H23" s="16">
        <f>Tabla23[[#This Row],[P1 + P4]]*VLOOKUP(MONTH(Tabla23[[#This Row],[Fecha final]]),Tabla20[#All],2,FALSE)</f>
        <v>107</v>
      </c>
      <c r="I23" s="16">
        <f>Tabla23[[#This Row],[P2 + P5]]*VLOOKUP(MONTH(Tabla23[[#This Row],[Fecha final]]),Tabla20[#All],3,FALSE)</f>
        <v>514</v>
      </c>
      <c r="J23" s="16">
        <f>(Tabla23[[#This Row],[P3 + P6]])*VLOOKUP(MONTH(Tabla23[[#This Row],[Fecha final]]),Tabla20[#All],4,FALSE)</f>
        <v>0</v>
      </c>
      <c r="K23" s="16">
        <f>Tabla23[[#This Row],[P1 + P4]]*VLOOKUP(MONTH(Tabla23[[#This Row],[Fecha final]]),Tabla20[#All],5,FALSE)</f>
        <v>0</v>
      </c>
      <c r="L23" s="16">
        <f>Tabla23[[#This Row],[P2 + P5]]*VLOOKUP(MONTH(Tabla23[[#This Row],[Fecha final]]),Tabla20[#All],6,FALSE)</f>
        <v>0</v>
      </c>
      <c r="M23" s="16">
        <f>Tabla23[[#This Row],[P3 + P6]]*VLOOKUP(MONTH(Tabla23[[#This Row],[Fecha final]]),Tabla20[#All],7,FALSE)</f>
        <v>459</v>
      </c>
      <c r="N23" s="16">
        <f>YEAR(Tabla23[[#This Row],[Fecha final]])</f>
        <v>2021</v>
      </c>
    </row>
    <row r="24" spans="1:14" hidden="1">
      <c r="A24" s="17">
        <v>44533</v>
      </c>
      <c r="B24" s="16" t="s">
        <v>259</v>
      </c>
      <c r="C24" s="16">
        <v>6</v>
      </c>
      <c r="D24" s="16" t="s">
        <v>42</v>
      </c>
      <c r="E24" s="16">
        <v>49</v>
      </c>
      <c r="F24" s="16">
        <v>55</v>
      </c>
      <c r="G24" s="16">
        <v>59</v>
      </c>
      <c r="H24" s="16">
        <f>Tabla23[[#This Row],[P1 + P4]]*VLOOKUP(MONTH(Tabla23[[#This Row],[Fecha final]]),Tabla20[#All],2,FALSE)</f>
        <v>49</v>
      </c>
      <c r="I24" s="16">
        <f>Tabla23[[#This Row],[P2 + P5]]*VLOOKUP(MONTH(Tabla23[[#This Row],[Fecha final]]),Tabla20[#All],3,FALSE)</f>
        <v>55</v>
      </c>
      <c r="J24" s="16">
        <f>(Tabla23[[#This Row],[P3 + P6]])*VLOOKUP(MONTH(Tabla23[[#This Row],[Fecha final]]),Tabla20[#All],4,FALSE)</f>
        <v>0</v>
      </c>
      <c r="K24" s="16">
        <f>Tabla23[[#This Row],[P1 + P4]]*VLOOKUP(MONTH(Tabla23[[#This Row],[Fecha final]]),Tabla20[#All],5,FALSE)</f>
        <v>0</v>
      </c>
      <c r="L24" s="16">
        <f>Tabla23[[#This Row],[P2 + P5]]*VLOOKUP(MONTH(Tabla23[[#This Row],[Fecha final]]),Tabla20[#All],6,FALSE)</f>
        <v>0</v>
      </c>
      <c r="M24" s="16">
        <f>Tabla23[[#This Row],[P3 + P6]]*VLOOKUP(MONTH(Tabla23[[#This Row],[Fecha final]]),Tabla20[#All],7,FALSE)</f>
        <v>59</v>
      </c>
      <c r="N24" s="16">
        <f>YEAR(Tabla23[[#This Row],[Fecha final]])</f>
        <v>2021</v>
      </c>
    </row>
    <row r="25" spans="1:14" hidden="1">
      <c r="A25" s="17">
        <v>44539</v>
      </c>
      <c r="B25" s="16" t="s">
        <v>60</v>
      </c>
      <c r="C25" s="16">
        <v>22</v>
      </c>
      <c r="D25" s="16" t="s">
        <v>42</v>
      </c>
      <c r="E25" s="16">
        <v>359</v>
      </c>
      <c r="F25" s="16">
        <v>232</v>
      </c>
      <c r="G25" s="16">
        <v>135</v>
      </c>
      <c r="H25" s="16">
        <f>Tabla23[[#This Row],[P1 + P4]]*VLOOKUP(MONTH(Tabla23[[#This Row],[Fecha final]]),Tabla20[#All],2,FALSE)</f>
        <v>359</v>
      </c>
      <c r="I25" s="16">
        <f>Tabla23[[#This Row],[P2 + P5]]*VLOOKUP(MONTH(Tabla23[[#This Row],[Fecha final]]),Tabla20[#All],3,FALSE)</f>
        <v>232</v>
      </c>
      <c r="J25" s="16">
        <f>(Tabla23[[#This Row],[P3 + P6]])*VLOOKUP(MONTH(Tabla23[[#This Row],[Fecha final]]),Tabla20[#All],4,FALSE)</f>
        <v>0</v>
      </c>
      <c r="K25" s="16">
        <f>Tabla23[[#This Row],[P1 + P4]]*VLOOKUP(MONTH(Tabla23[[#This Row],[Fecha final]]),Tabla20[#All],5,FALSE)</f>
        <v>0</v>
      </c>
      <c r="L25" s="16">
        <f>Tabla23[[#This Row],[P2 + P5]]*VLOOKUP(MONTH(Tabla23[[#This Row],[Fecha final]]),Tabla20[#All],6,FALSE)</f>
        <v>0</v>
      </c>
      <c r="M25" s="16">
        <f>Tabla23[[#This Row],[P3 + P6]]*VLOOKUP(MONTH(Tabla23[[#This Row],[Fecha final]]),Tabla20[#All],7,FALSE)</f>
        <v>135</v>
      </c>
      <c r="N25" s="16">
        <f>YEAR(Tabla23[[#This Row],[Fecha final]])</f>
        <v>2021</v>
      </c>
    </row>
    <row r="26" spans="1:14">
      <c r="A26" s="17">
        <v>44561</v>
      </c>
      <c r="B26" s="16" t="s">
        <v>61</v>
      </c>
      <c r="C26" s="16">
        <v>31</v>
      </c>
      <c r="D26" s="16" t="s">
        <v>42</v>
      </c>
      <c r="E26" s="16">
        <v>491</v>
      </c>
      <c r="F26" s="16">
        <v>205</v>
      </c>
      <c r="G26" s="16">
        <v>223</v>
      </c>
      <c r="H26" s="16">
        <f>Tabla23[[#This Row],[P1 + P4]]*VLOOKUP(MONTH(Tabla23[[#This Row],[Fecha final]]),Tabla20[#All],2,FALSE)</f>
        <v>491</v>
      </c>
      <c r="I26" s="16">
        <f>Tabla23[[#This Row],[P2 + P5]]*VLOOKUP(MONTH(Tabla23[[#This Row],[Fecha final]]),Tabla20[#All],3,FALSE)</f>
        <v>205</v>
      </c>
      <c r="J26" s="16">
        <f>(Tabla23[[#This Row],[P3 + P6]])*VLOOKUP(MONTH(Tabla23[[#This Row],[Fecha final]]),Tabla20[#All],4,FALSE)</f>
        <v>0</v>
      </c>
      <c r="K26" s="16">
        <f>Tabla23[[#This Row],[P1 + P4]]*VLOOKUP(MONTH(Tabla23[[#This Row],[Fecha final]]),Tabla20[#All],5,FALSE)</f>
        <v>0</v>
      </c>
      <c r="L26" s="16">
        <f>Tabla23[[#This Row],[P2 + P5]]*VLOOKUP(MONTH(Tabla23[[#This Row],[Fecha final]]),Tabla20[#All],6,FALSE)</f>
        <v>0</v>
      </c>
      <c r="M26" s="16">
        <f>Tabla23[[#This Row],[P3 + P6]]*VLOOKUP(MONTH(Tabla23[[#This Row],[Fecha final]]),Tabla20[#All],7,FALSE)</f>
        <v>223</v>
      </c>
      <c r="N26" s="16">
        <f>YEAR(Tabla23[[#This Row],[Fecha final]])</f>
        <v>2022</v>
      </c>
    </row>
    <row r="27" spans="1:14">
      <c r="A27" s="17">
        <v>44592</v>
      </c>
      <c r="B27" s="16" t="s">
        <v>62</v>
      </c>
      <c r="C27" s="16">
        <v>28</v>
      </c>
      <c r="D27" s="16" t="s">
        <v>42</v>
      </c>
      <c r="E27" s="16">
        <v>769</v>
      </c>
      <c r="F27" s="16">
        <v>363</v>
      </c>
      <c r="G27" s="16">
        <v>204</v>
      </c>
      <c r="H27" s="16">
        <f>Tabla23[[#This Row],[P1 + P4]]*VLOOKUP(MONTH(Tabla23[[#This Row],[Fecha final]]),Tabla20[#All],2,FALSE)</f>
        <v>769</v>
      </c>
      <c r="I27" s="16">
        <f>Tabla23[[#This Row],[P2 + P5]]*VLOOKUP(MONTH(Tabla23[[#This Row],[Fecha final]]),Tabla20[#All],3,FALSE)</f>
        <v>363</v>
      </c>
      <c r="J27" s="16">
        <f>(Tabla23[[#This Row],[P3 + P6]])*VLOOKUP(MONTH(Tabla23[[#This Row],[Fecha final]]),Tabla20[#All],4,FALSE)</f>
        <v>0</v>
      </c>
      <c r="K27" s="16">
        <f>Tabla23[[#This Row],[P1 + P4]]*VLOOKUP(MONTH(Tabla23[[#This Row],[Fecha final]]),Tabla20[#All],5,FALSE)</f>
        <v>0</v>
      </c>
      <c r="L27" s="16">
        <f>Tabla23[[#This Row],[P2 + P5]]*VLOOKUP(MONTH(Tabla23[[#This Row],[Fecha final]]),Tabla20[#All],6,FALSE)</f>
        <v>0</v>
      </c>
      <c r="M27" s="16">
        <f>Tabla23[[#This Row],[P3 + P6]]*VLOOKUP(MONTH(Tabla23[[#This Row],[Fecha final]]),Tabla20[#All],7,FALSE)</f>
        <v>204</v>
      </c>
      <c r="N27" s="16">
        <f>YEAR(Tabla23[[#This Row],[Fecha final]])</f>
        <v>2022</v>
      </c>
    </row>
    <row r="28" spans="1:14">
      <c r="A28" s="17">
        <v>44620</v>
      </c>
      <c r="B28" s="16" t="s">
        <v>63</v>
      </c>
      <c r="C28" s="16">
        <v>31</v>
      </c>
      <c r="D28" s="16" t="s">
        <v>42</v>
      </c>
      <c r="E28" s="16">
        <v>0</v>
      </c>
      <c r="F28" s="16">
        <v>666</v>
      </c>
      <c r="G28" s="16">
        <v>560</v>
      </c>
      <c r="H28" s="16">
        <f>Tabla23[[#This Row],[P1 + P4]]*VLOOKUP(MONTH(Tabla23[[#This Row],[Fecha final]]),Tabla20[#All],2,FALSE)</f>
        <v>0</v>
      </c>
      <c r="I28" s="16">
        <f>Tabla23[[#This Row],[P2 + P5]]*VLOOKUP(MONTH(Tabla23[[#This Row],[Fecha final]]),Tabla20[#All],3,FALSE)</f>
        <v>666</v>
      </c>
      <c r="J28" s="16">
        <f>(Tabla23[[#This Row],[P3 + P6]])*VLOOKUP(MONTH(Tabla23[[#This Row],[Fecha final]]),Tabla20[#All],4,FALSE)</f>
        <v>167.88800000000001</v>
      </c>
      <c r="K28" s="16">
        <f>Tabla23[[#This Row],[P1 + P4]]*VLOOKUP(MONTH(Tabla23[[#This Row],[Fecha final]]),Tabla20[#All],5,FALSE)</f>
        <v>0</v>
      </c>
      <c r="L28" s="16">
        <f>Tabla23[[#This Row],[P2 + P5]]*VLOOKUP(MONTH(Tabla23[[#This Row],[Fecha final]]),Tabla20[#All],6,FALSE)</f>
        <v>0</v>
      </c>
      <c r="M28" s="16">
        <f>Tabla23[[#This Row],[P3 + P6]]*VLOOKUP(MONTH(Tabla23[[#This Row],[Fecha final]]),Tabla20[#All],7,FALSE)</f>
        <v>392.11200000000002</v>
      </c>
      <c r="N28" s="16">
        <f>YEAR(Tabla23[[#This Row],[Fecha final]])</f>
        <v>2022</v>
      </c>
    </row>
    <row r="29" spans="1:14">
      <c r="A29" s="17">
        <v>44651</v>
      </c>
      <c r="B29" s="16" t="s">
        <v>65</v>
      </c>
      <c r="C29" s="16">
        <v>30</v>
      </c>
      <c r="D29" s="16" t="s">
        <v>42</v>
      </c>
      <c r="E29" s="16">
        <v>5</v>
      </c>
      <c r="F29" s="16">
        <v>4</v>
      </c>
      <c r="G29" s="16">
        <v>12</v>
      </c>
      <c r="H29" s="16">
        <f>Tabla23[[#This Row],[P1 + P4]]*VLOOKUP(MONTH(Tabla23[[#This Row],[Fecha final]]),Tabla20[#All],2,FALSE)</f>
        <v>0</v>
      </c>
      <c r="I29" s="16">
        <f>Tabla23[[#This Row],[P2 + P5]]*VLOOKUP(MONTH(Tabla23[[#This Row],[Fecha final]]),Tabla20[#All],3,FALSE)</f>
        <v>0</v>
      </c>
      <c r="J29" s="16">
        <f>(Tabla23[[#This Row],[P3 + P6]])*VLOOKUP(MONTH(Tabla23[[#This Row],[Fecha final]]),Tabla20[#All],4,FALSE)</f>
        <v>0</v>
      </c>
      <c r="K29" s="16">
        <f>Tabla23[[#This Row],[P1 + P4]]*VLOOKUP(MONTH(Tabla23[[#This Row],[Fecha final]]),Tabla20[#All],5,FALSE)</f>
        <v>5</v>
      </c>
      <c r="L29" s="16">
        <f>Tabla23[[#This Row],[P2 + P5]]*VLOOKUP(MONTH(Tabla23[[#This Row],[Fecha final]]),Tabla20[#All],6,FALSE)</f>
        <v>4</v>
      </c>
      <c r="M29" s="16">
        <f>Tabla23[[#This Row],[P3 + P6]]*VLOOKUP(MONTH(Tabla23[[#This Row],[Fecha final]]),Tabla20[#All],7,FALSE)</f>
        <v>12</v>
      </c>
      <c r="N29" s="16">
        <f>YEAR(Tabla23[[#This Row],[Fecha final]])</f>
        <v>2022</v>
      </c>
    </row>
    <row r="30" spans="1:14">
      <c r="A30" s="17">
        <v>44681</v>
      </c>
      <c r="B30" s="16" t="s">
        <v>309</v>
      </c>
      <c r="C30" s="16">
        <v>25</v>
      </c>
      <c r="D30" s="16" t="s">
        <v>42</v>
      </c>
      <c r="E30" s="16">
        <v>5</v>
      </c>
      <c r="F30" s="16">
        <v>4</v>
      </c>
      <c r="G30" s="16">
        <v>9</v>
      </c>
      <c r="H30" s="16">
        <f>Tabla23[[#This Row],[P1 + P4]]*VLOOKUP(MONTH(Tabla23[[#This Row],[Fecha final]]),Tabla20[#All],2,FALSE)</f>
        <v>0</v>
      </c>
      <c r="I30" s="16">
        <f>Tabla23[[#This Row],[P2 + P5]]*VLOOKUP(MONTH(Tabla23[[#This Row],[Fecha final]]),Tabla20[#All],3,FALSE)</f>
        <v>0</v>
      </c>
      <c r="J30" s="16">
        <f>(Tabla23[[#This Row],[P3 + P6]])*VLOOKUP(MONTH(Tabla23[[#This Row],[Fecha final]]),Tabla20[#All],4,FALSE)</f>
        <v>0</v>
      </c>
      <c r="K30" s="16">
        <f>Tabla23[[#This Row],[P1 + P4]]*VLOOKUP(MONTH(Tabla23[[#This Row],[Fecha final]]),Tabla20[#All],5,FALSE)</f>
        <v>5</v>
      </c>
      <c r="L30" s="16">
        <f>Tabla23[[#This Row],[P2 + P5]]*VLOOKUP(MONTH(Tabla23[[#This Row],[Fecha final]]),Tabla20[#All],6,FALSE)</f>
        <v>4</v>
      </c>
      <c r="M30" s="16">
        <f>Tabla23[[#This Row],[P3 + P6]]*VLOOKUP(MONTH(Tabla23[[#This Row],[Fecha final]]),Tabla20[#All],7,FALSE)</f>
        <v>9</v>
      </c>
      <c r="N30" s="16">
        <f>YEAR(Tabla23[[#This Row],[Fecha final]])</f>
        <v>2022</v>
      </c>
    </row>
    <row r="31" spans="1:14">
      <c r="A31" s="17">
        <v>44706</v>
      </c>
      <c r="B31" s="16" t="s">
        <v>66</v>
      </c>
      <c r="C31" s="16">
        <v>6</v>
      </c>
      <c r="D31" s="16" t="s">
        <v>42</v>
      </c>
      <c r="E31" s="16">
        <v>1</v>
      </c>
      <c r="F31" s="16">
        <v>1</v>
      </c>
      <c r="G31" s="16">
        <v>3</v>
      </c>
      <c r="H31" s="16">
        <f>Tabla23[[#This Row],[P1 + P4]]*VLOOKUP(MONTH(Tabla23[[#This Row],[Fecha final]]),Tabla20[#All],2,FALSE)</f>
        <v>0</v>
      </c>
      <c r="I31" s="16">
        <f>Tabla23[[#This Row],[P2 + P5]]*VLOOKUP(MONTH(Tabla23[[#This Row],[Fecha final]]),Tabla20[#All],3,FALSE)</f>
        <v>0</v>
      </c>
      <c r="J31" s="16">
        <f>(Tabla23[[#This Row],[P3 + P6]])*VLOOKUP(MONTH(Tabla23[[#This Row],[Fecha final]]),Tabla20[#All],4,FALSE)</f>
        <v>0</v>
      </c>
      <c r="K31" s="16">
        <f>Tabla23[[#This Row],[P1 + P4]]*VLOOKUP(MONTH(Tabla23[[#This Row],[Fecha final]]),Tabla20[#All],5,FALSE)</f>
        <v>1</v>
      </c>
      <c r="L31" s="16">
        <f>Tabla23[[#This Row],[P2 + P5]]*VLOOKUP(MONTH(Tabla23[[#This Row],[Fecha final]]),Tabla20[#All],6,FALSE)</f>
        <v>1</v>
      </c>
      <c r="M31" s="16">
        <f>Tabla23[[#This Row],[P3 + P6]]*VLOOKUP(MONTH(Tabla23[[#This Row],[Fecha final]]),Tabla20[#All],7,FALSE)</f>
        <v>3</v>
      </c>
      <c r="N31" s="16">
        <f>YEAR(Tabla23[[#This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18</v>
      </c>
      <c r="F32" s="16">
        <v>0</v>
      </c>
      <c r="G32" s="16">
        <v>63</v>
      </c>
      <c r="H32" s="16">
        <f>Tabla23[[#This Row],[P1 + P4]]*VLOOKUP(MONTH(Tabla23[[#This Row],[Fecha final]]),Tabla20[#All],2,FALSE)</f>
        <v>0</v>
      </c>
      <c r="I32" s="16">
        <f>Tabla23[[#This Row],[P2 + P5]]*VLOOKUP(MONTH(Tabla23[[#This Row],[Fecha final]]),Tabla20[#All],3,FALSE)</f>
        <v>0</v>
      </c>
      <c r="J32" s="16">
        <f>(Tabla23[[#This Row],[P3 + P6]])*VLOOKUP(MONTH(Tabla23[[#This Row],[Fecha final]]),Tabla20[#All],4,FALSE)</f>
        <v>22.037400000000002</v>
      </c>
      <c r="K32" s="16">
        <f>Tabla23[[#This Row],[P1 + P4]]*VLOOKUP(MONTH(Tabla23[[#This Row],[Fecha final]]),Tabla20[#All],5,FALSE)</f>
        <v>18</v>
      </c>
      <c r="L32" s="16">
        <f>Tabla23[[#This Row],[P2 + P5]]*VLOOKUP(MONTH(Tabla23[[#This Row],[Fecha final]]),Tabla20[#All],6,FALSE)</f>
        <v>0</v>
      </c>
      <c r="M32" s="16">
        <f>Tabla23[[#This Row],[P3 + P6]]*VLOOKUP(MONTH(Tabla23[[#This Row],[Fecha final]]),Tabla20[#All],7,FALSE)</f>
        <v>40.962600000000002</v>
      </c>
      <c r="N32" s="16">
        <f>YEAR(Tabla23[[#This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25</v>
      </c>
      <c r="F33" s="16">
        <v>20</v>
      </c>
      <c r="G33" s="16">
        <v>54</v>
      </c>
      <c r="H33" s="16">
        <f>Tabla23[[#This Row],[P1 + P4]]*VLOOKUP(MONTH(Tabla23[[#This Row],[Fecha final]]),Tabla20[#All],2,FALSE)</f>
        <v>25</v>
      </c>
      <c r="I33" s="16">
        <f>Tabla23[[#This Row],[P2 + P5]]*VLOOKUP(MONTH(Tabla23[[#This Row],[Fecha final]]),Tabla20[#All],3,FALSE)</f>
        <v>20</v>
      </c>
      <c r="J33" s="16">
        <f>(Tabla23[[#This Row],[P3 + P6]])*VLOOKUP(MONTH(Tabla23[[#This Row],[Fecha final]]),Tabla20[#All],4,FALSE)</f>
        <v>0</v>
      </c>
      <c r="K33" s="16">
        <f>Tabla23[[#This Row],[P1 + P4]]*VLOOKUP(MONTH(Tabla23[[#This Row],[Fecha final]]),Tabla20[#All],5,FALSE)</f>
        <v>0</v>
      </c>
      <c r="L33" s="16">
        <f>Tabla23[[#This Row],[P2 + P5]]*VLOOKUP(MONTH(Tabla23[[#This Row],[Fecha final]]),Tabla20[#All],6,FALSE)</f>
        <v>0</v>
      </c>
      <c r="M33" s="16">
        <f>Tabla23[[#This Row],[P3 + P6]]*VLOOKUP(MONTH(Tabla23[[#This Row],[Fecha final]]),Tabla20[#All],7,FALSE)</f>
        <v>54</v>
      </c>
      <c r="N33" s="16">
        <f>YEAR(Tabla23[[#This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20</v>
      </c>
      <c r="F34" s="16">
        <v>0</v>
      </c>
      <c r="G34" s="16">
        <v>79</v>
      </c>
      <c r="H34" s="16">
        <f>Tabla23[[#This Row],[P1 + P4]]*VLOOKUP(MONTH(Tabla23[[#This Row],[Fecha final]]),Tabla20[#All],2,FALSE)</f>
        <v>0</v>
      </c>
      <c r="I34" s="16">
        <f>Tabla23[[#This Row],[P2 + P5]]*VLOOKUP(MONTH(Tabla23[[#This Row],[Fecha final]]),Tabla20[#All],3,FALSE)</f>
        <v>0</v>
      </c>
      <c r="J34" s="16">
        <f>(Tabla23[[#This Row],[P3 + P6]])*VLOOKUP(MONTH(Tabla23[[#This Row],[Fecha final]]),Tabla20[#All],4,FALSE)</f>
        <v>26.5124</v>
      </c>
      <c r="K34" s="16">
        <f>Tabla23[[#This Row],[P1 + P4]]*VLOOKUP(MONTH(Tabla23[[#This Row],[Fecha final]]),Tabla20[#All],5,FALSE)</f>
        <v>20</v>
      </c>
      <c r="L34" s="16">
        <f>Tabla23[[#This Row],[P2 + P5]]*VLOOKUP(MONTH(Tabla23[[#This Row],[Fecha final]]),Tabla20[#All],6,FALSE)</f>
        <v>0</v>
      </c>
      <c r="M34" s="16">
        <f>Tabla23[[#This Row],[P3 + P6]]*VLOOKUP(MONTH(Tabla23[[#This Row],[Fecha final]]),Tabla20[#All],7,FALSE)</f>
        <v>52.4876</v>
      </c>
      <c r="N34" s="16">
        <f>YEAR(Tabla23[[#This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7</v>
      </c>
      <c r="F35" s="16">
        <v>0</v>
      </c>
      <c r="G35" s="16">
        <v>28</v>
      </c>
      <c r="H35" s="16">
        <f>Tabla23[[#This Row],[P1 + P4]]*VLOOKUP(MONTH(Tabla23[[#This Row],[Fecha final]]),Tabla20[#All],2,FALSE)</f>
        <v>0</v>
      </c>
      <c r="I35" s="16">
        <f>Tabla23[[#This Row],[P2 + P5]]*VLOOKUP(MONTH(Tabla23[[#This Row],[Fecha final]]),Tabla20[#All],3,FALSE)</f>
        <v>0</v>
      </c>
      <c r="J35" s="16">
        <f>(Tabla23[[#This Row],[P3 + P6]])*VLOOKUP(MONTH(Tabla23[[#This Row],[Fecha final]]),Tabla20[#All],4,FALSE)</f>
        <v>9.7943999999999996</v>
      </c>
      <c r="K35" s="16">
        <f>Tabla23[[#This Row],[P1 + P4]]*VLOOKUP(MONTH(Tabla23[[#This Row],[Fecha final]]),Tabla20[#All],5,FALSE)</f>
        <v>7</v>
      </c>
      <c r="L35" s="16">
        <f>Tabla23[[#This Row],[P2 + P5]]*VLOOKUP(MONTH(Tabla23[[#This Row],[Fecha final]]),Tabla20[#All],6,FALSE)</f>
        <v>0</v>
      </c>
      <c r="M35" s="16">
        <f>Tabla23[[#This Row],[P3 + P6]]*VLOOKUP(MONTH(Tabla23[[#This Row],[Fecha final]]),Tabla20[#All],7,FALSE)</f>
        <v>18.2056</v>
      </c>
      <c r="N35" s="16">
        <f>YEAR(Tabla23[[#This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6</v>
      </c>
      <c r="F36" s="16">
        <v>4</v>
      </c>
      <c r="G36" s="16">
        <v>13</v>
      </c>
      <c r="H36" s="16">
        <f>Tabla23[[#This Row],[P1 + P4]]*VLOOKUP(MONTH(Tabla23[[#This Row],[Fecha final]]),Tabla20[#All],2,FALSE)</f>
        <v>0</v>
      </c>
      <c r="I36" s="16">
        <f>Tabla23[[#This Row],[P2 + P5]]*VLOOKUP(MONTH(Tabla23[[#This Row],[Fecha final]]),Tabla20[#All],3,FALSE)</f>
        <v>0</v>
      </c>
      <c r="J36" s="16">
        <f>(Tabla23[[#This Row],[P3 + P6]])*VLOOKUP(MONTH(Tabla23[[#This Row],[Fecha final]]),Tabla20[#All],4,FALSE)</f>
        <v>0</v>
      </c>
      <c r="K36" s="16">
        <f>Tabla23[[#This Row],[P1 + P4]]*VLOOKUP(MONTH(Tabla23[[#This Row],[Fecha final]]),Tabla20[#All],5,FALSE)</f>
        <v>6</v>
      </c>
      <c r="L36" s="16">
        <f>Tabla23[[#This Row],[P2 + P5]]*VLOOKUP(MONTH(Tabla23[[#This Row],[Fecha final]]),Tabla20[#All],6,FALSE)</f>
        <v>4</v>
      </c>
      <c r="M36" s="16">
        <f>Tabla23[[#This Row],[P3 + P6]]*VLOOKUP(MONTH(Tabla23[[#This Row],[Fecha final]]),Tabla20[#All],7,FALSE)</f>
        <v>13</v>
      </c>
      <c r="N36" s="16">
        <f>YEAR(Tabla23[[#This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131</v>
      </c>
      <c r="G37" s="16">
        <v>175</v>
      </c>
      <c r="H37" s="16">
        <f>Tabla23[[#This Row],[P1 + P4]]*VLOOKUP(MONTH(Tabla23[[#This Row],[Fecha final]]),Tabla20[#All],2,FALSE)</f>
        <v>0</v>
      </c>
      <c r="I37" s="16">
        <f>Tabla23[[#This Row],[P2 + P5]]*VLOOKUP(MONTH(Tabla23[[#This Row],[Fecha final]]),Tabla20[#All],3,FALSE)</f>
        <v>131</v>
      </c>
      <c r="J37" s="16">
        <f>(Tabla23[[#This Row],[P3 + P6]])*VLOOKUP(MONTH(Tabla23[[#This Row],[Fecha final]]),Tabla20[#All],4,FALSE)</f>
        <v>48.44</v>
      </c>
      <c r="K37" s="16">
        <f>Tabla23[[#This Row],[P1 + P4]]*VLOOKUP(MONTH(Tabla23[[#This Row],[Fecha final]]),Tabla20[#All],5,FALSE)</f>
        <v>0</v>
      </c>
      <c r="L37" s="16">
        <f>Tabla23[[#This Row],[P2 + P5]]*VLOOKUP(MONTH(Tabla23[[#This Row],[Fecha final]]),Tabla20[#All],6,FALSE)</f>
        <v>0</v>
      </c>
      <c r="M37" s="16">
        <f>Tabla23[[#This Row],[P3 + P6]]*VLOOKUP(MONTH(Tabla23[[#This Row],[Fecha final]]),Tabla20[#All],7,FALSE)</f>
        <v>126.55999999999999</v>
      </c>
      <c r="N37" s="16">
        <f>YEAR(Tabla23[[#This Row],[Fecha final]])</f>
        <v>2022</v>
      </c>
    </row>
    <row r="38" spans="1:14">
      <c r="A38" s="17">
        <v>44895</v>
      </c>
      <c r="B38" s="16" t="s">
        <v>232</v>
      </c>
      <c r="C38" s="16">
        <v>28</v>
      </c>
      <c r="D38" s="16" t="s">
        <v>42</v>
      </c>
      <c r="E38" s="16">
        <v>341</v>
      </c>
      <c r="F38" s="16">
        <v>171</v>
      </c>
      <c r="G38" s="16">
        <v>165</v>
      </c>
      <c r="H38" s="16">
        <f>Tabla23[[#This Row],[P1 + P4]]*VLOOKUP(MONTH(Tabla23[[#This Row],[Fecha final]]),Tabla20[#All],2,FALSE)</f>
        <v>341</v>
      </c>
      <c r="I38" s="16">
        <f>Tabla23[[#This Row],[P2 + P5]]*VLOOKUP(MONTH(Tabla23[[#This Row],[Fecha final]]),Tabla20[#All],3,FALSE)</f>
        <v>171</v>
      </c>
      <c r="J38" s="16">
        <f>(Tabla23[[#This Row],[P3 + P6]])*VLOOKUP(MONTH(Tabla23[[#This Row],[Fecha final]]),Tabla20[#All],4,FALSE)</f>
        <v>0</v>
      </c>
      <c r="K38" s="16">
        <f>Tabla23[[#This Row],[P1 + P4]]*VLOOKUP(MONTH(Tabla23[[#This Row],[Fecha final]]),Tabla20[#All],5,FALSE)</f>
        <v>0</v>
      </c>
      <c r="L38" s="16">
        <f>Tabla23[[#This Row],[P2 + P5]]*VLOOKUP(MONTH(Tabla23[[#This Row],[Fecha final]]),Tabla20[#All],6,FALSE)</f>
        <v>0</v>
      </c>
      <c r="M38" s="16">
        <f>Tabla23[[#This Row],[P3 + P6]]*VLOOKUP(MONTH(Tabla23[[#This Row],[Fecha final]]),Tabla20[#All],7,FALSE)</f>
        <v>165</v>
      </c>
      <c r="N38" s="16">
        <f>YEAR(Tabla23[[#This Row],[Fecha final]])</f>
        <v>2022</v>
      </c>
    </row>
    <row r="39" spans="1:14">
      <c r="A39" s="17">
        <v>44923</v>
      </c>
      <c r="B39" s="16" t="s">
        <v>73</v>
      </c>
      <c r="C39" s="16">
        <v>3</v>
      </c>
      <c r="D39" s="16" t="s">
        <v>42</v>
      </c>
      <c r="E39" s="16">
        <v>8</v>
      </c>
      <c r="F39" s="16">
        <v>6</v>
      </c>
      <c r="G39" s="16">
        <v>16</v>
      </c>
      <c r="H39" s="16">
        <f>Tabla23[[#This Row],[P1 + P4]]*VLOOKUP(MONTH(Tabla23[[#This Row],[Fecha final]]),Tabla20[#All],2,FALSE)</f>
        <v>8</v>
      </c>
      <c r="I39" s="16">
        <f>Tabla23[[#This Row],[P2 + P5]]*VLOOKUP(MONTH(Tabla23[[#This Row],[Fecha final]]),Tabla20[#All],3,FALSE)</f>
        <v>6</v>
      </c>
      <c r="J39" s="16">
        <f>(Tabla23[[#This Row],[P3 + P6]])*VLOOKUP(MONTH(Tabla23[[#This Row],[Fecha final]]),Tabla20[#All],4,FALSE)</f>
        <v>0</v>
      </c>
      <c r="K39" s="16">
        <f>Tabla23[[#This Row],[P1 + P4]]*VLOOKUP(MONTH(Tabla23[[#This Row],[Fecha final]]),Tabla20[#All],5,FALSE)</f>
        <v>0</v>
      </c>
      <c r="L39" s="16">
        <f>Tabla23[[#This Row],[P2 + P5]]*VLOOKUP(MONTH(Tabla23[[#This Row],[Fecha final]]),Tabla20[#All],6,FALSE)</f>
        <v>0</v>
      </c>
      <c r="M39" s="16">
        <f>Tabla23[[#This Row],[P3 + P6]]*VLOOKUP(MONTH(Tabla23[[#This Row],[Fecha final]]),Tabla20[#All],7,FALSE)</f>
        <v>16</v>
      </c>
      <c r="N39" s="16">
        <f>YEAR(Tabla23[[#This Row],[Fecha final]])</f>
        <v>2022</v>
      </c>
    </row>
    <row r="40" spans="1:14" hidden="1">
      <c r="A40" s="17">
        <v>44926</v>
      </c>
      <c r="B40" s="16" t="s">
        <v>231</v>
      </c>
      <c r="C40" s="16">
        <v>26</v>
      </c>
      <c r="D40" s="16" t="s">
        <v>42</v>
      </c>
      <c r="E40" s="16">
        <v>689</v>
      </c>
      <c r="F40" s="16">
        <v>286</v>
      </c>
      <c r="G40" s="16">
        <v>145</v>
      </c>
      <c r="H40" s="16">
        <f>Tabla23[[#This Row],[P1 + P4]]*VLOOKUP(MONTH(Tabla23[[#This Row],[Fecha final]]),Tabla20[#All],2,FALSE)</f>
        <v>689</v>
      </c>
      <c r="I40" s="16">
        <f>Tabla23[[#This Row],[P2 + P5]]*VLOOKUP(MONTH(Tabla23[[#This Row],[Fecha final]]),Tabla20[#All],3,FALSE)</f>
        <v>286</v>
      </c>
      <c r="J40" s="16">
        <f>(Tabla23[[#This Row],[P3 + P6]])*VLOOKUP(MONTH(Tabla23[[#This Row],[Fecha final]]),Tabla20[#All],4,FALSE)</f>
        <v>0</v>
      </c>
      <c r="K40" s="16">
        <f>Tabla23[[#This Row],[P1 + P4]]*VLOOKUP(MONTH(Tabla23[[#This Row],[Fecha final]]),Tabla20[#All],5,FALSE)</f>
        <v>0</v>
      </c>
      <c r="L40" s="16">
        <f>Tabla23[[#This Row],[P2 + P5]]*VLOOKUP(MONTH(Tabla23[[#This Row],[Fecha final]]),Tabla20[#All],6,FALSE)</f>
        <v>0</v>
      </c>
      <c r="M40" s="16">
        <f>Tabla23[[#This Row],[P3 + P6]]*VLOOKUP(MONTH(Tabla23[[#This Row],[Fecha final]]),Tabla20[#All],7,FALSE)</f>
        <v>145</v>
      </c>
      <c r="N40" s="16">
        <f>YEAR(Tabla23[[#This Row],[Fecha final]])</f>
        <v>2023</v>
      </c>
    </row>
    <row r="41" spans="1:14" hidden="1">
      <c r="A41" s="17">
        <v>44952</v>
      </c>
      <c r="B41" s="16" t="s">
        <v>74</v>
      </c>
      <c r="C41" s="16">
        <v>5</v>
      </c>
      <c r="D41" s="16" t="s">
        <v>42</v>
      </c>
      <c r="E41" s="16">
        <v>155</v>
      </c>
      <c r="F41" s="16">
        <v>80</v>
      </c>
      <c r="G41" s="16">
        <v>99</v>
      </c>
      <c r="H41" s="16">
        <f>Tabla23[[#This Row],[P1 + P4]]*VLOOKUP(MONTH(Tabla23[[#This Row],[Fecha final]]),Tabla20[#All],2,FALSE)</f>
        <v>155</v>
      </c>
      <c r="I41" s="16">
        <f>Tabla23[[#This Row],[P2 + P5]]*VLOOKUP(MONTH(Tabla23[[#This Row],[Fecha final]]),Tabla20[#All],3,FALSE)</f>
        <v>80</v>
      </c>
      <c r="J41" s="16">
        <f>(Tabla23[[#This Row],[P3 + P6]])*VLOOKUP(MONTH(Tabla23[[#This Row],[Fecha final]]),Tabla20[#All],4,FALSE)</f>
        <v>0</v>
      </c>
      <c r="K41" s="16">
        <f>Tabla23[[#This Row],[P1 + P4]]*VLOOKUP(MONTH(Tabla23[[#This Row],[Fecha final]]),Tabla20[#All],5,FALSE)</f>
        <v>0</v>
      </c>
      <c r="L41" s="16">
        <f>Tabla23[[#This Row],[P2 + P5]]*VLOOKUP(MONTH(Tabla23[[#This Row],[Fecha final]]),Tabla20[#All],6,FALSE)</f>
        <v>0</v>
      </c>
      <c r="M41" s="16">
        <f>Tabla23[[#This Row],[P3 + P6]]*VLOOKUP(MONTH(Tabla23[[#This Row],[Fecha final]]),Tabla20[#All],7,FALSE)</f>
        <v>99</v>
      </c>
      <c r="N41" s="16">
        <f>YEAR(Tabla23[[#This Row],[Fecha final]])</f>
        <v>2023</v>
      </c>
    </row>
    <row r="42" spans="1:14" hidden="1">
      <c r="A42" s="17">
        <v>44957</v>
      </c>
      <c r="B42" s="16" t="s">
        <v>75</v>
      </c>
      <c r="C42" s="16">
        <v>28</v>
      </c>
      <c r="D42" s="16" t="s">
        <v>42</v>
      </c>
      <c r="E42" s="16">
        <v>939</v>
      </c>
      <c r="F42" s="16">
        <v>461</v>
      </c>
      <c r="G42" s="16">
        <v>306</v>
      </c>
      <c r="H42" s="16">
        <f>Tabla23[[#This Row],[P1 + P4]]*VLOOKUP(MONTH(Tabla23[[#This Row],[Fecha final]]),Tabla20[#All],2,FALSE)</f>
        <v>939</v>
      </c>
      <c r="I42" s="16">
        <f>Tabla23[[#This Row],[P2 + P5]]*VLOOKUP(MONTH(Tabla23[[#This Row],[Fecha final]]),Tabla20[#All],3,FALSE)</f>
        <v>461</v>
      </c>
      <c r="J42" s="16">
        <f>(Tabla23[[#This Row],[P3 + P6]])*VLOOKUP(MONTH(Tabla23[[#This Row],[Fecha final]]),Tabla20[#All],4,FALSE)</f>
        <v>0</v>
      </c>
      <c r="K42" s="16">
        <f>Tabla23[[#This Row],[P1 + P4]]*VLOOKUP(MONTH(Tabla23[[#This Row],[Fecha final]]),Tabla20[#All],5,FALSE)</f>
        <v>0</v>
      </c>
      <c r="L42" s="16">
        <f>Tabla23[[#This Row],[P2 + P5]]*VLOOKUP(MONTH(Tabla23[[#This Row],[Fecha final]]),Tabla20[#All],6,FALSE)</f>
        <v>0</v>
      </c>
      <c r="M42" s="16">
        <f>Tabla23[[#This Row],[P3 + P6]]*VLOOKUP(MONTH(Tabla23[[#This Row],[Fecha final]]),Tabla20[#All],7,FALSE)</f>
        <v>306</v>
      </c>
      <c r="N42" s="16">
        <f>YEAR(Tabla23[[#This Row],[Fecha final]])</f>
        <v>2023</v>
      </c>
    </row>
    <row r="43" spans="1:14" hidden="1">
      <c r="A43" s="17">
        <v>44985</v>
      </c>
      <c r="B43" s="16" t="s">
        <v>76</v>
      </c>
      <c r="C43" s="16">
        <v>31</v>
      </c>
      <c r="D43" s="16" t="s">
        <v>42</v>
      </c>
      <c r="E43" s="16">
        <v>0</v>
      </c>
      <c r="F43" s="16">
        <v>405</v>
      </c>
      <c r="G43" s="16">
        <v>390</v>
      </c>
      <c r="H43" s="16">
        <f>Tabla23[[#This Row],[P1 + P4]]*VLOOKUP(MONTH(Tabla23[[#This Row],[Fecha final]]),Tabla20[#All],2,FALSE)</f>
        <v>0</v>
      </c>
      <c r="I43" s="16">
        <f>Tabla23[[#This Row],[P2 + P5]]*VLOOKUP(MONTH(Tabla23[[#This Row],[Fecha final]]),Tabla20[#All],3,FALSE)</f>
        <v>405</v>
      </c>
      <c r="J43" s="16">
        <f>(Tabla23[[#This Row],[P3 + P6]])*VLOOKUP(MONTH(Tabla23[[#This Row],[Fecha final]]),Tabla20[#All],4,FALSE)</f>
        <v>116.92200000000001</v>
      </c>
      <c r="K43" s="16">
        <f>Tabla23[[#This Row],[P1 + P4]]*VLOOKUP(MONTH(Tabla23[[#This Row],[Fecha final]]),Tabla20[#All],5,FALSE)</f>
        <v>0</v>
      </c>
      <c r="L43" s="16">
        <f>Tabla23[[#This Row],[P2 + P5]]*VLOOKUP(MONTH(Tabla23[[#This Row],[Fecha final]]),Tabla20[#All],6,FALSE)</f>
        <v>0</v>
      </c>
      <c r="M43" s="16">
        <f>Tabla23[[#This Row],[P3 + P6]]*VLOOKUP(MONTH(Tabla23[[#This Row],[Fecha final]]),Tabla20[#All],7,FALSE)</f>
        <v>273.07800000000003</v>
      </c>
      <c r="N43" s="16">
        <f>YEAR(Tabla23[[#This Row],[Fecha final]])</f>
        <v>2023</v>
      </c>
    </row>
    <row r="46" spans="1:14">
      <c r="A46" s="16" t="s">
        <v>77</v>
      </c>
    </row>
    <row r="48" spans="1:14">
      <c r="A48" s="16" t="s">
        <v>37</v>
      </c>
      <c r="B48" s="16" t="s">
        <v>38</v>
      </c>
      <c r="C48" s="16" t="s">
        <v>39</v>
      </c>
      <c r="D48" s="16" t="s">
        <v>40</v>
      </c>
      <c r="E48" s="16" t="s">
        <v>32</v>
      </c>
      <c r="F48" s="16" t="s">
        <v>33</v>
      </c>
      <c r="G48" s="16" t="s">
        <v>34</v>
      </c>
    </row>
    <row r="49" spans="1:7">
      <c r="A49" s="16" t="s">
        <v>75</v>
      </c>
      <c r="B49" s="16" t="s">
        <v>76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74</v>
      </c>
      <c r="B50" s="16" t="s">
        <v>75</v>
      </c>
      <c r="C50" s="16">
        <v>28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231</v>
      </c>
      <c r="B51" s="16" t="s">
        <v>74</v>
      </c>
      <c r="C51" s="16">
        <v>5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73</v>
      </c>
      <c r="B52" s="16" t="s">
        <v>231</v>
      </c>
      <c r="C52" s="16">
        <v>26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232</v>
      </c>
      <c r="B53" s="16" t="s">
        <v>73</v>
      </c>
      <c r="C53" s="16">
        <v>3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72</v>
      </c>
      <c r="B54" s="16" t="s">
        <v>232</v>
      </c>
      <c r="C54" s="16">
        <v>28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71</v>
      </c>
      <c r="B55" s="16" t="s">
        <v>72</v>
      </c>
      <c r="C55" s="16">
        <v>30</v>
      </c>
      <c r="D55" s="16" t="s">
        <v>42</v>
      </c>
      <c r="E55" s="16">
        <v>0</v>
      </c>
      <c r="F55" s="16">
        <v>2</v>
      </c>
      <c r="G55" s="16">
        <v>8</v>
      </c>
    </row>
    <row r="56" spans="1:7">
      <c r="A56" s="16" t="s">
        <v>70</v>
      </c>
      <c r="B56" s="16" t="s">
        <v>71</v>
      </c>
      <c r="C56" s="16">
        <v>31</v>
      </c>
      <c r="D56" s="16" t="s">
        <v>42</v>
      </c>
      <c r="E56" s="16">
        <v>4</v>
      </c>
      <c r="F56" s="16">
        <v>4</v>
      </c>
      <c r="G56" s="16">
        <v>9</v>
      </c>
    </row>
    <row r="57" spans="1:7">
      <c r="A57" s="16" t="s">
        <v>69</v>
      </c>
      <c r="B57" s="16" t="s">
        <v>70</v>
      </c>
      <c r="C57" s="16">
        <v>30</v>
      </c>
      <c r="D57" s="16" t="s">
        <v>42</v>
      </c>
      <c r="E57" s="16">
        <v>3</v>
      </c>
      <c r="F57" s="16">
        <v>0</v>
      </c>
      <c r="G57" s="16">
        <v>10</v>
      </c>
    </row>
    <row r="58" spans="1:7">
      <c r="A58" s="16" t="s">
        <v>68</v>
      </c>
      <c r="B58" s="16" t="s">
        <v>69</v>
      </c>
      <c r="C58" s="16">
        <v>31</v>
      </c>
      <c r="D58" s="16" t="s">
        <v>42</v>
      </c>
      <c r="E58" s="16">
        <v>1</v>
      </c>
      <c r="F58" s="16">
        <v>0</v>
      </c>
      <c r="G58" s="16">
        <v>5</v>
      </c>
    </row>
    <row r="59" spans="1:7">
      <c r="A59" s="16" t="s">
        <v>67</v>
      </c>
      <c r="B59" s="16" t="s">
        <v>68</v>
      </c>
      <c r="C59" s="16">
        <v>31</v>
      </c>
      <c r="D59" s="16" t="s">
        <v>42</v>
      </c>
      <c r="E59" s="16">
        <v>1</v>
      </c>
      <c r="F59" s="16">
        <v>1</v>
      </c>
      <c r="G59" s="16">
        <v>3</v>
      </c>
    </row>
    <row r="60" spans="1:7">
      <c r="A60" s="16" t="s">
        <v>66</v>
      </c>
      <c r="B60" s="16" t="s">
        <v>67</v>
      </c>
      <c r="C60" s="16">
        <v>30</v>
      </c>
      <c r="D60" s="16" t="s">
        <v>42</v>
      </c>
      <c r="E60" s="16">
        <v>2</v>
      </c>
      <c r="F60" s="16">
        <v>0</v>
      </c>
      <c r="G60" s="16">
        <v>6</v>
      </c>
    </row>
    <row r="61" spans="1:7">
      <c r="A61" s="16" t="s">
        <v>309</v>
      </c>
      <c r="B61" s="16" t="s">
        <v>66</v>
      </c>
      <c r="C61" s="16">
        <v>6</v>
      </c>
      <c r="D61" s="16" t="s">
        <v>42</v>
      </c>
      <c r="E61" s="16">
        <v>1</v>
      </c>
      <c r="F61" s="16">
        <v>0</v>
      </c>
      <c r="G61" s="16">
        <v>2</v>
      </c>
    </row>
    <row r="62" spans="1:7">
      <c r="A62" s="16" t="s">
        <v>65</v>
      </c>
      <c r="B62" s="16" t="s">
        <v>309</v>
      </c>
      <c r="C62" s="16">
        <v>25</v>
      </c>
      <c r="D62" s="16" t="s">
        <v>42</v>
      </c>
      <c r="E62" s="16">
        <v>3</v>
      </c>
      <c r="F62" s="16">
        <v>3</v>
      </c>
      <c r="G62" s="16">
        <v>7</v>
      </c>
    </row>
    <row r="63" spans="1:7">
      <c r="A63" s="16" t="s">
        <v>63</v>
      </c>
      <c r="B63" s="16" t="s">
        <v>65</v>
      </c>
      <c r="C63" s="16">
        <v>30</v>
      </c>
      <c r="D63" s="16" t="s">
        <v>42</v>
      </c>
      <c r="E63" s="16">
        <v>4</v>
      </c>
      <c r="F63" s="16">
        <v>3</v>
      </c>
      <c r="G63" s="16">
        <v>8</v>
      </c>
    </row>
    <row r="64" spans="1:7">
      <c r="A64" s="16" t="s">
        <v>62</v>
      </c>
      <c r="B64" s="16" t="s">
        <v>63</v>
      </c>
      <c r="C64" s="16">
        <v>31</v>
      </c>
      <c r="D64" s="16" t="s">
        <v>42</v>
      </c>
      <c r="E64" s="16">
        <v>0</v>
      </c>
      <c r="F64" s="16">
        <v>1</v>
      </c>
      <c r="G64" s="16">
        <v>5</v>
      </c>
    </row>
    <row r="65" spans="1:7">
      <c r="A65" s="16" t="s">
        <v>61</v>
      </c>
      <c r="B65" s="16" t="s">
        <v>62</v>
      </c>
      <c r="C65" s="16">
        <v>28</v>
      </c>
      <c r="D65" s="16" t="s">
        <v>42</v>
      </c>
      <c r="E65" s="16">
        <v>1</v>
      </c>
      <c r="F65" s="16">
        <v>2</v>
      </c>
      <c r="G65" s="16">
        <v>1</v>
      </c>
    </row>
    <row r="66" spans="1:7">
      <c r="A66" s="16" t="s">
        <v>60</v>
      </c>
      <c r="B66" s="16" t="s">
        <v>61</v>
      </c>
      <c r="C66" s="16">
        <v>31</v>
      </c>
      <c r="D66" s="16" t="s">
        <v>42</v>
      </c>
      <c r="E66" s="16">
        <v>1</v>
      </c>
      <c r="F66" s="16">
        <v>1</v>
      </c>
      <c r="G66" s="16">
        <v>1</v>
      </c>
    </row>
    <row r="67" spans="1:7">
      <c r="A67" s="16" t="s">
        <v>259</v>
      </c>
      <c r="B67" s="16" t="s">
        <v>60</v>
      </c>
      <c r="C67" s="16">
        <v>22</v>
      </c>
      <c r="D67" s="16" t="s">
        <v>42</v>
      </c>
      <c r="E67" s="16">
        <v>1</v>
      </c>
      <c r="F67" s="16">
        <v>2</v>
      </c>
      <c r="G67" s="16">
        <v>1</v>
      </c>
    </row>
    <row r="68" spans="1:7">
      <c r="A68" s="16" t="s">
        <v>115</v>
      </c>
      <c r="B68" s="16" t="s">
        <v>259</v>
      </c>
      <c r="C68" s="16">
        <v>6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57</v>
      </c>
      <c r="B69" s="16" t="s">
        <v>115</v>
      </c>
      <c r="C69" s="16">
        <v>33</v>
      </c>
      <c r="D69" s="16" t="s">
        <v>42</v>
      </c>
      <c r="E69" s="16">
        <v>0</v>
      </c>
      <c r="F69" s="16">
        <v>1</v>
      </c>
      <c r="G69" s="16">
        <v>3</v>
      </c>
    </row>
    <row r="70" spans="1:7">
      <c r="A70" s="16" t="s">
        <v>55</v>
      </c>
      <c r="B70" s="16" t="s">
        <v>57</v>
      </c>
      <c r="C70" s="16">
        <v>31</v>
      </c>
      <c r="D70" s="16" t="s">
        <v>42</v>
      </c>
      <c r="E70" s="16">
        <v>0</v>
      </c>
      <c r="F70" s="16">
        <v>1</v>
      </c>
      <c r="G70" s="16">
        <v>1</v>
      </c>
    </row>
    <row r="71" spans="1:7">
      <c r="A71" s="16" t="s">
        <v>54</v>
      </c>
      <c r="B71" s="16" t="s">
        <v>55</v>
      </c>
      <c r="C71" s="16">
        <v>30</v>
      </c>
      <c r="D71" s="16" t="s">
        <v>42</v>
      </c>
      <c r="E71" s="16">
        <v>7</v>
      </c>
      <c r="F71" s="16">
        <v>0</v>
      </c>
      <c r="G71" s="16">
        <v>20</v>
      </c>
    </row>
    <row r="72" spans="1:7">
      <c r="A72" s="16" t="s">
        <v>53</v>
      </c>
      <c r="B72" s="16" t="s">
        <v>54</v>
      </c>
      <c r="C72" s="16">
        <v>31</v>
      </c>
      <c r="D72" s="16" t="s">
        <v>42</v>
      </c>
      <c r="E72" s="16">
        <v>4</v>
      </c>
      <c r="F72" s="16">
        <v>0</v>
      </c>
      <c r="G72" s="16">
        <v>3</v>
      </c>
    </row>
    <row r="73" spans="1:7">
      <c r="A73" s="16" t="s">
        <v>52</v>
      </c>
      <c r="B73" s="16" t="s">
        <v>53</v>
      </c>
      <c r="C73" s="16">
        <v>31</v>
      </c>
      <c r="D73" s="16" t="s">
        <v>42</v>
      </c>
      <c r="E73" s="16">
        <v>0</v>
      </c>
      <c r="F73" s="16">
        <v>2</v>
      </c>
      <c r="G73" s="16">
        <v>1</v>
      </c>
    </row>
    <row r="74" spans="1:7">
      <c r="A74" s="16" t="s">
        <v>51</v>
      </c>
      <c r="B74" s="16" t="s">
        <v>52</v>
      </c>
      <c r="C74" s="16">
        <v>30</v>
      </c>
      <c r="D74" s="16" t="s">
        <v>42</v>
      </c>
      <c r="E74" s="16">
        <v>3</v>
      </c>
      <c r="F74" s="16">
        <v>0</v>
      </c>
      <c r="G74" s="16">
        <v>1</v>
      </c>
    </row>
    <row r="75" spans="1:7">
      <c r="A75" s="16" t="s">
        <v>50</v>
      </c>
      <c r="B75" s="16" t="s">
        <v>51</v>
      </c>
      <c r="C75" s="16">
        <v>31</v>
      </c>
      <c r="D75" s="16" t="s">
        <v>42</v>
      </c>
      <c r="E75" s="16">
        <v>0</v>
      </c>
      <c r="F75" s="16">
        <v>3</v>
      </c>
      <c r="G75" s="16">
        <v>0</v>
      </c>
    </row>
    <row r="76" spans="1:7">
      <c r="A76" s="16" t="s">
        <v>48</v>
      </c>
      <c r="B76" s="16" t="s">
        <v>50</v>
      </c>
      <c r="C76" s="16">
        <v>30</v>
      </c>
      <c r="D76" s="16" t="s">
        <v>42</v>
      </c>
      <c r="E76" s="16">
        <v>0</v>
      </c>
      <c r="F76" s="16">
        <v>3</v>
      </c>
      <c r="G76" s="16">
        <v>0</v>
      </c>
    </row>
    <row r="77" spans="1:7">
      <c r="A77" s="16" t="s">
        <v>47</v>
      </c>
      <c r="B77" s="16" t="s">
        <v>48</v>
      </c>
      <c r="C77" s="16">
        <v>31</v>
      </c>
      <c r="D77" s="16" t="s">
        <v>42</v>
      </c>
      <c r="E77" s="16">
        <v>1</v>
      </c>
      <c r="F77" s="16">
        <v>3</v>
      </c>
      <c r="G77" s="16">
        <v>0</v>
      </c>
    </row>
    <row r="78" spans="1:7">
      <c r="A78" s="16" t="s">
        <v>46</v>
      </c>
      <c r="B78" s="16" t="s">
        <v>47</v>
      </c>
      <c r="C78" s="16">
        <v>28</v>
      </c>
      <c r="D78" s="16" t="s">
        <v>42</v>
      </c>
      <c r="E78" s="16">
        <v>0</v>
      </c>
      <c r="F78" s="16">
        <v>1</v>
      </c>
      <c r="G78" s="16">
        <v>0</v>
      </c>
    </row>
    <row r="79" spans="1:7">
      <c r="A79" s="16" t="s">
        <v>45</v>
      </c>
      <c r="B79" s="16" t="s">
        <v>46</v>
      </c>
      <c r="C79" s="16">
        <v>31</v>
      </c>
      <c r="D79" s="16" t="s">
        <v>42</v>
      </c>
      <c r="E79" s="16">
        <v>1</v>
      </c>
      <c r="F79" s="16">
        <v>6</v>
      </c>
      <c r="G79" s="16">
        <v>0</v>
      </c>
    </row>
    <row r="80" spans="1:7">
      <c r="A80" s="16" t="s">
        <v>44</v>
      </c>
      <c r="B80" s="16" t="s">
        <v>45</v>
      </c>
      <c r="C80" s="16">
        <v>31</v>
      </c>
      <c r="D80" s="16" t="s">
        <v>42</v>
      </c>
      <c r="E80" s="16">
        <v>0</v>
      </c>
      <c r="F80" s="16">
        <v>1</v>
      </c>
      <c r="G80" s="16">
        <v>0</v>
      </c>
    </row>
    <row r="81" spans="1:7">
      <c r="A81" s="16" t="s">
        <v>43</v>
      </c>
      <c r="B81" s="16" t="s">
        <v>44</v>
      </c>
      <c r="C81" s="16">
        <v>30</v>
      </c>
      <c r="D81" s="16" t="s">
        <v>42</v>
      </c>
      <c r="E81" s="16">
        <v>1</v>
      </c>
      <c r="F81" s="16">
        <v>1</v>
      </c>
      <c r="G81" s="16">
        <v>0</v>
      </c>
    </row>
    <row r="82" spans="1:7">
      <c r="A82" s="16" t="s">
        <v>41</v>
      </c>
      <c r="B82" s="16" t="s">
        <v>43</v>
      </c>
      <c r="C82" s="16">
        <v>31</v>
      </c>
      <c r="D82" s="16" t="s">
        <v>42</v>
      </c>
      <c r="E82" s="16">
        <v>0</v>
      </c>
      <c r="F82" s="16">
        <v>1</v>
      </c>
      <c r="G82" s="16">
        <v>0</v>
      </c>
    </row>
    <row r="83" spans="1:7">
      <c r="A83" s="16" t="s">
        <v>78</v>
      </c>
      <c r="B83" s="16" t="s">
        <v>41</v>
      </c>
      <c r="C83" s="16">
        <v>30</v>
      </c>
      <c r="D83" s="16" t="s">
        <v>42</v>
      </c>
      <c r="E83" s="16">
        <v>0</v>
      </c>
      <c r="F83" s="16">
        <v>1</v>
      </c>
      <c r="G83" s="16">
        <v>0</v>
      </c>
    </row>
    <row r="84" spans="1:7">
      <c r="A84" s="16" t="s">
        <v>88</v>
      </c>
      <c r="B84" s="16" t="s">
        <v>78</v>
      </c>
      <c r="C84" s="16">
        <v>31</v>
      </c>
      <c r="D84" s="16" t="s">
        <v>42</v>
      </c>
      <c r="E84" s="16">
        <v>0</v>
      </c>
      <c r="F84" s="16">
        <v>2</v>
      </c>
      <c r="G84" s="16">
        <v>0</v>
      </c>
    </row>
    <row r="85" spans="1:7">
      <c r="A85" s="16" t="s">
        <v>89</v>
      </c>
      <c r="B85" s="16" t="s">
        <v>88</v>
      </c>
      <c r="C85" s="16">
        <v>31</v>
      </c>
      <c r="D85" s="16" t="s">
        <v>42</v>
      </c>
      <c r="E85" s="16">
        <v>0</v>
      </c>
      <c r="F85" s="16">
        <v>1</v>
      </c>
      <c r="G85" s="16">
        <v>0</v>
      </c>
    </row>
    <row r="88" spans="1:7">
      <c r="A88" s="16" t="s">
        <v>79</v>
      </c>
    </row>
    <row r="90" spans="1:7">
      <c r="A90" s="16" t="s">
        <v>80</v>
      </c>
      <c r="B90" s="16" t="s">
        <v>81</v>
      </c>
      <c r="C90" s="16" t="s">
        <v>82</v>
      </c>
      <c r="D90" s="16" t="s">
        <v>83</v>
      </c>
    </row>
    <row r="91" spans="1:7">
      <c r="A91" s="16" t="s">
        <v>84</v>
      </c>
      <c r="B91" s="16">
        <v>9.0299999999999994</v>
      </c>
      <c r="C91" s="16">
        <v>9.0299999999999994</v>
      </c>
      <c r="D91" s="16">
        <v>9.0299999999999994</v>
      </c>
    </row>
    <row r="92" spans="1:7">
      <c r="A92" s="16" t="s">
        <v>37</v>
      </c>
      <c r="B92" s="16" t="s">
        <v>38</v>
      </c>
      <c r="C92" s="16" t="s">
        <v>39</v>
      </c>
      <c r="D92" s="16" t="s">
        <v>40</v>
      </c>
      <c r="E92" s="16" t="s">
        <v>81</v>
      </c>
      <c r="F92" s="16" t="s">
        <v>82</v>
      </c>
      <c r="G92" s="16" t="s">
        <v>83</v>
      </c>
    </row>
    <row r="93" spans="1:7">
      <c r="A93" s="16" t="s">
        <v>75</v>
      </c>
      <c r="B93" s="16" t="s">
        <v>76</v>
      </c>
      <c r="C93" s="16">
        <v>31</v>
      </c>
      <c r="D93" s="16" t="s">
        <v>42</v>
      </c>
      <c r="E93" s="16">
        <v>0</v>
      </c>
      <c r="F93" s="16">
        <v>11.67</v>
      </c>
      <c r="G93" s="16">
        <v>10.029999999999999</v>
      </c>
    </row>
    <row r="94" spans="1:7">
      <c r="A94" s="16" t="s">
        <v>74</v>
      </c>
      <c r="B94" s="16" t="s">
        <v>75</v>
      </c>
      <c r="C94" s="16">
        <v>28</v>
      </c>
      <c r="D94" s="16" t="s">
        <v>42</v>
      </c>
      <c r="E94" s="16">
        <v>11.48</v>
      </c>
      <c r="F94" s="16">
        <v>10.27</v>
      </c>
      <c r="G94" s="16">
        <v>7.28</v>
      </c>
    </row>
    <row r="95" spans="1:7">
      <c r="A95" s="16" t="s">
        <v>231</v>
      </c>
      <c r="B95" s="16" t="s">
        <v>74</v>
      </c>
      <c r="C95" s="16">
        <v>5</v>
      </c>
      <c r="D95" s="16" t="s">
        <v>42</v>
      </c>
      <c r="E95" s="16">
        <v>11.41</v>
      </c>
      <c r="F95" s="16">
        <v>10.49</v>
      </c>
      <c r="G95" s="16">
        <v>6.35</v>
      </c>
    </row>
    <row r="96" spans="1:7">
      <c r="A96" s="16" t="s">
        <v>73</v>
      </c>
      <c r="B96" s="16" t="s">
        <v>231</v>
      </c>
      <c r="C96" s="16">
        <v>26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232</v>
      </c>
      <c r="B97" s="16" t="s">
        <v>73</v>
      </c>
      <c r="C97" s="16">
        <v>3</v>
      </c>
      <c r="D97" s="16" t="s">
        <v>42</v>
      </c>
      <c r="E97" s="16">
        <v>8.74</v>
      </c>
      <c r="F97" s="16">
        <v>7.54</v>
      </c>
      <c r="G97" s="16">
        <v>6.16</v>
      </c>
    </row>
    <row r="98" spans="1:7">
      <c r="A98" s="16" t="s">
        <v>72</v>
      </c>
      <c r="B98" s="16" t="s">
        <v>232</v>
      </c>
      <c r="C98" s="16">
        <v>28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71</v>
      </c>
      <c r="B99" s="16" t="s">
        <v>72</v>
      </c>
      <c r="C99" s="16">
        <v>30</v>
      </c>
      <c r="D99" s="16" t="s">
        <v>42</v>
      </c>
      <c r="E99" s="16">
        <v>0</v>
      </c>
      <c r="F99" s="16">
        <v>8.42</v>
      </c>
      <c r="G99" s="16">
        <v>5.28</v>
      </c>
    </row>
    <row r="100" spans="1:7">
      <c r="A100" s="16" t="s">
        <v>70</v>
      </c>
      <c r="B100" s="16" t="s">
        <v>71</v>
      </c>
      <c r="C100" s="16">
        <v>31</v>
      </c>
      <c r="D100" s="16" t="s">
        <v>42</v>
      </c>
      <c r="E100" s="16">
        <v>1.93</v>
      </c>
      <c r="F100" s="16">
        <v>0.03</v>
      </c>
      <c r="G100" s="16">
        <v>0.03</v>
      </c>
    </row>
    <row r="101" spans="1:7">
      <c r="A101" s="16" t="s">
        <v>69</v>
      </c>
      <c r="B101" s="16" t="s">
        <v>70</v>
      </c>
      <c r="C101" s="16">
        <v>30</v>
      </c>
      <c r="D101" s="16" t="s">
        <v>42</v>
      </c>
      <c r="E101" s="16">
        <v>1.18</v>
      </c>
      <c r="F101" s="16">
        <v>0</v>
      </c>
      <c r="G101" s="16">
        <v>1.18</v>
      </c>
    </row>
    <row r="102" spans="1:7">
      <c r="A102" s="16" t="s">
        <v>68</v>
      </c>
      <c r="B102" s="16" t="s">
        <v>69</v>
      </c>
      <c r="C102" s="16">
        <v>31</v>
      </c>
      <c r="D102" s="16" t="s">
        <v>42</v>
      </c>
      <c r="E102" s="16">
        <v>0.13</v>
      </c>
      <c r="F102" s="16">
        <v>0</v>
      </c>
      <c r="G102" s="16">
        <v>1.72</v>
      </c>
    </row>
    <row r="103" spans="1:7">
      <c r="A103" s="16" t="s">
        <v>67</v>
      </c>
      <c r="B103" s="16" t="s">
        <v>68</v>
      </c>
      <c r="C103" s="16">
        <v>31</v>
      </c>
      <c r="D103" s="16" t="s">
        <v>42</v>
      </c>
      <c r="E103" s="16">
        <v>0</v>
      </c>
      <c r="F103" s="16">
        <v>0</v>
      </c>
      <c r="G103" s="16">
        <v>0.13</v>
      </c>
    </row>
    <row r="104" spans="1:7">
      <c r="A104" s="16" t="s">
        <v>66</v>
      </c>
      <c r="B104" s="16" t="s">
        <v>67</v>
      </c>
      <c r="C104" s="16">
        <v>30</v>
      </c>
      <c r="D104" s="16" t="s">
        <v>42</v>
      </c>
      <c r="E104" s="16">
        <v>0.13</v>
      </c>
      <c r="F104" s="16">
        <v>0</v>
      </c>
      <c r="G104" s="16">
        <v>1.83</v>
      </c>
    </row>
    <row r="105" spans="1:7">
      <c r="A105" s="16" t="s">
        <v>309</v>
      </c>
      <c r="B105" s="16" t="s">
        <v>66</v>
      </c>
      <c r="C105" s="16">
        <v>6</v>
      </c>
      <c r="D105" s="16" t="s">
        <v>42</v>
      </c>
      <c r="E105" s="16">
        <v>0.03</v>
      </c>
      <c r="F105" s="16">
        <v>0.03</v>
      </c>
      <c r="G105" s="16">
        <v>0.03</v>
      </c>
    </row>
    <row r="106" spans="1:7">
      <c r="A106" s="16" t="s">
        <v>65</v>
      </c>
      <c r="B106" s="16" t="s">
        <v>309</v>
      </c>
      <c r="C106" s="16">
        <v>25</v>
      </c>
      <c r="D106" s="16" t="s">
        <v>42</v>
      </c>
      <c r="E106" s="16">
        <v>0</v>
      </c>
      <c r="F106" s="16">
        <v>0</v>
      </c>
      <c r="G106" s="16">
        <v>0</v>
      </c>
    </row>
    <row r="107" spans="1:7">
      <c r="A107" s="16" t="s">
        <v>63</v>
      </c>
      <c r="B107" s="16" t="s">
        <v>65</v>
      </c>
      <c r="C107" s="16">
        <v>30</v>
      </c>
      <c r="D107" s="16" t="s">
        <v>42</v>
      </c>
      <c r="E107" s="16">
        <v>0.03</v>
      </c>
      <c r="F107" s="16">
        <v>0.03</v>
      </c>
      <c r="G107" s="16">
        <v>0.03</v>
      </c>
    </row>
    <row r="108" spans="1:7">
      <c r="A108" s="16" t="s">
        <v>62</v>
      </c>
      <c r="B108" s="16" t="s">
        <v>63</v>
      </c>
      <c r="C108" s="16">
        <v>31</v>
      </c>
      <c r="D108" s="16" t="s">
        <v>42</v>
      </c>
      <c r="E108" s="16">
        <v>0</v>
      </c>
      <c r="F108" s="16">
        <v>9.9700000000000006</v>
      </c>
      <c r="G108" s="16">
        <v>9.81</v>
      </c>
    </row>
    <row r="109" spans="1:7">
      <c r="A109" s="16" t="s">
        <v>61</v>
      </c>
      <c r="B109" s="16" t="s">
        <v>62</v>
      </c>
      <c r="C109" s="16">
        <v>28</v>
      </c>
      <c r="D109" s="16" t="s">
        <v>42</v>
      </c>
      <c r="E109" s="16">
        <v>10.23</v>
      </c>
      <c r="F109" s="16">
        <v>10</v>
      </c>
      <c r="G109" s="16">
        <v>5.07</v>
      </c>
    </row>
    <row r="110" spans="1:7">
      <c r="A110" s="16" t="s">
        <v>60</v>
      </c>
      <c r="B110" s="16" t="s">
        <v>61</v>
      </c>
      <c r="C110" s="16">
        <v>31</v>
      </c>
      <c r="D110" s="16" t="s">
        <v>42</v>
      </c>
      <c r="E110" s="16">
        <v>9.1199999999999992</v>
      </c>
      <c r="F110" s="16">
        <v>9.89</v>
      </c>
      <c r="G110" s="16">
        <v>1.28</v>
      </c>
    </row>
    <row r="111" spans="1:7">
      <c r="A111" s="16" t="s">
        <v>259</v>
      </c>
      <c r="B111" s="16" t="s">
        <v>60</v>
      </c>
      <c r="C111" s="16">
        <v>22</v>
      </c>
      <c r="D111" s="16" t="s">
        <v>42</v>
      </c>
      <c r="E111" s="16">
        <v>11.35</v>
      </c>
      <c r="F111" s="16">
        <v>9.86</v>
      </c>
      <c r="G111" s="16">
        <v>1.88</v>
      </c>
    </row>
    <row r="112" spans="1:7">
      <c r="A112" s="16" t="s">
        <v>115</v>
      </c>
      <c r="B112" s="16" t="s">
        <v>259</v>
      </c>
      <c r="C112" s="16">
        <v>6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57</v>
      </c>
      <c r="B113" s="16" t="s">
        <v>115</v>
      </c>
      <c r="C113" s="16">
        <v>33</v>
      </c>
      <c r="D113" s="16" t="s">
        <v>42</v>
      </c>
      <c r="E113" s="16">
        <v>0</v>
      </c>
      <c r="F113" s="16">
        <v>9.0299999999999994</v>
      </c>
      <c r="G113" s="16">
        <v>8.2899999999999991</v>
      </c>
    </row>
    <row r="114" spans="1:7">
      <c r="A114" s="16" t="s">
        <v>55</v>
      </c>
      <c r="B114" s="16" t="s">
        <v>57</v>
      </c>
      <c r="C114" s="16">
        <v>31</v>
      </c>
      <c r="D114" s="16" t="s">
        <v>42</v>
      </c>
      <c r="E114" s="16">
        <v>3.33</v>
      </c>
      <c r="F114" s="16">
        <v>2.35</v>
      </c>
      <c r="G114" s="16">
        <v>1.1399999999999999</v>
      </c>
    </row>
    <row r="115" spans="1:7">
      <c r="A115" s="16" t="s">
        <v>54</v>
      </c>
      <c r="B115" s="16" t="s">
        <v>55</v>
      </c>
      <c r="C115" s="16">
        <v>30</v>
      </c>
      <c r="D115" s="16" t="s">
        <v>42</v>
      </c>
      <c r="E115" s="16">
        <v>7.98</v>
      </c>
      <c r="F115" s="16">
        <v>0</v>
      </c>
      <c r="G115" s="16">
        <v>8.27</v>
      </c>
    </row>
    <row r="116" spans="1:7">
      <c r="A116" s="16" t="s">
        <v>53</v>
      </c>
      <c r="B116" s="16" t="s">
        <v>54</v>
      </c>
      <c r="C116" s="16">
        <v>31</v>
      </c>
      <c r="D116" s="16" t="s">
        <v>42</v>
      </c>
      <c r="E116" s="16">
        <v>11.68</v>
      </c>
      <c r="F116" s="16">
        <v>0</v>
      </c>
      <c r="G116" s="16">
        <v>8.81</v>
      </c>
    </row>
    <row r="117" spans="1:7">
      <c r="A117" s="16" t="s">
        <v>52</v>
      </c>
      <c r="B117" s="16" t="s">
        <v>53</v>
      </c>
      <c r="C117" s="16">
        <v>31</v>
      </c>
      <c r="D117" s="16" t="s">
        <v>42</v>
      </c>
      <c r="E117" s="16">
        <v>8.31</v>
      </c>
      <c r="F117" s="16">
        <v>8.36</v>
      </c>
      <c r="G117" s="16">
        <v>3.04</v>
      </c>
    </row>
    <row r="118" spans="1:7">
      <c r="A118" s="16" t="s">
        <v>51</v>
      </c>
      <c r="B118" s="16" t="s">
        <v>52</v>
      </c>
      <c r="C118" s="16">
        <v>30</v>
      </c>
      <c r="D118" s="16" t="s">
        <v>42</v>
      </c>
      <c r="E118" s="16">
        <v>5.5</v>
      </c>
      <c r="F118" s="16">
        <v>0</v>
      </c>
      <c r="G118" s="16">
        <v>7.27</v>
      </c>
    </row>
    <row r="119" spans="1:7">
      <c r="A119" s="16" t="s">
        <v>50</v>
      </c>
      <c r="B119" s="16" t="s">
        <v>51</v>
      </c>
      <c r="C119" s="16">
        <v>31</v>
      </c>
      <c r="D119" s="16" t="s">
        <v>42</v>
      </c>
      <c r="E119" s="16">
        <v>8.6300000000000008</v>
      </c>
      <c r="F119" s="16">
        <v>9.59</v>
      </c>
      <c r="G119" s="16">
        <v>0.83</v>
      </c>
    </row>
    <row r="120" spans="1:7">
      <c r="A120" s="16" t="s">
        <v>48</v>
      </c>
      <c r="B120" s="16" t="s">
        <v>50</v>
      </c>
      <c r="C120" s="16">
        <v>30</v>
      </c>
      <c r="D120" s="16" t="s">
        <v>42</v>
      </c>
      <c r="E120" s="16">
        <v>9.49</v>
      </c>
      <c r="F120" s="16">
        <v>9.9700000000000006</v>
      </c>
      <c r="G120" s="16">
        <v>5.52</v>
      </c>
    </row>
    <row r="121" spans="1:7">
      <c r="A121" s="16" t="s">
        <v>47</v>
      </c>
      <c r="B121" s="16" t="s">
        <v>48</v>
      </c>
      <c r="C121" s="16">
        <v>31</v>
      </c>
      <c r="D121" s="16" t="s">
        <v>42</v>
      </c>
      <c r="E121" s="16">
        <v>8.27</v>
      </c>
      <c r="F121" s="16">
        <v>9.65</v>
      </c>
      <c r="G121" s="16">
        <v>1.04</v>
      </c>
    </row>
    <row r="122" spans="1:7">
      <c r="A122" s="16" t="s">
        <v>46</v>
      </c>
      <c r="B122" s="16" t="s">
        <v>47</v>
      </c>
      <c r="C122" s="16">
        <v>28</v>
      </c>
      <c r="D122" s="16" t="s">
        <v>42</v>
      </c>
      <c r="E122" s="16">
        <v>2.31</v>
      </c>
      <c r="F122" s="16">
        <v>9.4</v>
      </c>
      <c r="G122" s="16">
        <v>2.0099999999999998</v>
      </c>
    </row>
    <row r="123" spans="1:7">
      <c r="A123" s="16" t="s">
        <v>45</v>
      </c>
      <c r="B123" s="16" t="s">
        <v>46</v>
      </c>
      <c r="C123" s="16">
        <v>31</v>
      </c>
      <c r="D123" s="16" t="s">
        <v>42</v>
      </c>
      <c r="E123" s="16">
        <v>6.91</v>
      </c>
      <c r="F123" s="16">
        <v>8.2799999999999994</v>
      </c>
      <c r="G123" s="16">
        <v>6.74</v>
      </c>
    </row>
    <row r="124" spans="1:7">
      <c r="A124" s="16" t="s">
        <v>44</v>
      </c>
      <c r="B124" s="16" t="s">
        <v>45</v>
      </c>
      <c r="C124" s="16">
        <v>31</v>
      </c>
      <c r="D124" s="16" t="s">
        <v>42</v>
      </c>
      <c r="E124" s="16">
        <v>6.93</v>
      </c>
      <c r="F124" s="16">
        <v>10.01</v>
      </c>
      <c r="G124" s="16">
        <v>7.02</v>
      </c>
    </row>
    <row r="125" spans="1:7">
      <c r="A125" s="16" t="s">
        <v>43</v>
      </c>
      <c r="B125" s="16" t="s">
        <v>44</v>
      </c>
      <c r="C125" s="16">
        <v>30</v>
      </c>
      <c r="D125" s="16" t="s">
        <v>42</v>
      </c>
      <c r="E125" s="16">
        <v>5.78</v>
      </c>
      <c r="F125" s="16">
        <v>9.0299999999999994</v>
      </c>
      <c r="G125" s="16">
        <v>2.9</v>
      </c>
    </row>
    <row r="126" spans="1:7">
      <c r="A126" s="16" t="s">
        <v>41</v>
      </c>
      <c r="B126" s="16" t="s">
        <v>43</v>
      </c>
      <c r="C126" s="16">
        <v>31</v>
      </c>
      <c r="D126" s="16" t="s">
        <v>42</v>
      </c>
      <c r="E126" s="16">
        <v>6.28</v>
      </c>
      <c r="F126" s="16">
        <v>6.74</v>
      </c>
      <c r="G126" s="16">
        <v>0.74</v>
      </c>
    </row>
    <row r="127" spans="1:7">
      <c r="A127" s="16" t="s">
        <v>78</v>
      </c>
      <c r="B127" s="16" t="s">
        <v>41</v>
      </c>
      <c r="C127" s="16">
        <v>30</v>
      </c>
      <c r="D127" s="16" t="s">
        <v>42</v>
      </c>
      <c r="E127" s="16">
        <v>7.23</v>
      </c>
      <c r="F127" s="16">
        <v>7.14</v>
      </c>
      <c r="G127" s="16">
        <v>3.73</v>
      </c>
    </row>
    <row r="128" spans="1:7">
      <c r="A128" s="16" t="s">
        <v>88</v>
      </c>
      <c r="B128" s="16" t="s">
        <v>78</v>
      </c>
      <c r="C128" s="16">
        <v>31</v>
      </c>
      <c r="D128" s="16" t="s">
        <v>42</v>
      </c>
      <c r="E128" s="16">
        <v>7.66</v>
      </c>
      <c r="F128" s="16">
        <v>7.75</v>
      </c>
      <c r="G128" s="16">
        <v>6.73</v>
      </c>
    </row>
    <row r="129" spans="1:7">
      <c r="A129" s="16" t="s">
        <v>89</v>
      </c>
      <c r="B129" s="16" t="s">
        <v>88</v>
      </c>
      <c r="C129" s="16">
        <v>31</v>
      </c>
      <c r="D129" s="16" t="s">
        <v>42</v>
      </c>
      <c r="E129" s="16">
        <v>8.3699999999999992</v>
      </c>
      <c r="F129" s="16">
        <v>9.44</v>
      </c>
      <c r="G129" s="16">
        <v>6.31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5DFCA-F43C-4E73-B1BA-FE83B304CB13}">
  <dimension ref="A1:N132"/>
  <sheetViews>
    <sheetView topLeftCell="A22" workbookViewId="0">
      <selection activeCell="E29" sqref="E29:G41"/>
    </sheetView>
  </sheetViews>
  <sheetFormatPr baseColWidth="10" defaultColWidth="8.6640625" defaultRowHeight="14.4"/>
  <cols>
    <col min="1" max="1" width="33" style="16" bestFit="1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311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2474</v>
      </c>
      <c r="C4" s="16">
        <v>2123</v>
      </c>
      <c r="D4" s="16">
        <v>1686</v>
      </c>
    </row>
    <row r="5" spans="1:14">
      <c r="A5" s="16" t="s">
        <v>36</v>
      </c>
      <c r="B5" s="16">
        <v>39</v>
      </c>
      <c r="C5" s="16">
        <v>34</v>
      </c>
      <c r="D5" s="16">
        <v>27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310</v>
      </c>
    </row>
    <row r="7" spans="1:14">
      <c r="A7" s="17">
        <v>43894</v>
      </c>
      <c r="B7" s="16" t="s">
        <v>344</v>
      </c>
      <c r="C7" s="16">
        <v>32</v>
      </c>
      <c r="D7" s="16" t="s">
        <v>42</v>
      </c>
      <c r="E7" s="16">
        <v>519</v>
      </c>
      <c r="F7" s="16">
        <v>0</v>
      </c>
      <c r="G7" s="16">
        <v>0</v>
      </c>
      <c r="H7" s="16">
        <f>SUM(Tabla24[[#This Row],[P1 + P4]:[P2 + P5]])</f>
        <v>519</v>
      </c>
      <c r="I7" s="16">
        <f>Tabla24[[#This Row],[P3 + P6]]</f>
        <v>0</v>
      </c>
      <c r="J7" s="16" t="s">
        <v>156</v>
      </c>
      <c r="K7" s="16" t="s">
        <v>156</v>
      </c>
      <c r="L7" s="16" t="s">
        <v>156</v>
      </c>
      <c r="M7" s="16" t="s">
        <v>156</v>
      </c>
      <c r="N7" s="16">
        <f>YEAR(Tabla24[[#This Row],[Fecha final]])</f>
        <v>2020</v>
      </c>
    </row>
    <row r="8" spans="1:14">
      <c r="A8" s="17">
        <v>43926</v>
      </c>
      <c r="B8" s="16" t="s">
        <v>343</v>
      </c>
      <c r="C8" s="16">
        <v>29</v>
      </c>
      <c r="D8" s="16" t="s">
        <v>42</v>
      </c>
      <c r="E8" s="16">
        <v>207</v>
      </c>
      <c r="F8" s="16">
        <v>0</v>
      </c>
      <c r="G8" s="16">
        <v>0</v>
      </c>
      <c r="H8" s="16">
        <f>SUM(Tabla24[[#This Row],[P1 + P4]:[P2 + P5]])</f>
        <v>207</v>
      </c>
      <c r="I8" s="16">
        <f>Tabla24[[#This Row],[P3 + P6]]</f>
        <v>0</v>
      </c>
      <c r="J8" s="16" t="s">
        <v>156</v>
      </c>
      <c r="K8" s="16" t="s">
        <v>156</v>
      </c>
      <c r="L8" s="16" t="s">
        <v>156</v>
      </c>
      <c r="M8" s="16" t="s">
        <v>156</v>
      </c>
      <c r="N8" s="16">
        <f>YEAR(Tabla24[[#This Row],[Fecha final]])</f>
        <v>2020</v>
      </c>
    </row>
    <row r="9" spans="1:14">
      <c r="A9" s="17">
        <v>43955</v>
      </c>
      <c r="B9" s="16" t="s">
        <v>342</v>
      </c>
      <c r="C9" s="16">
        <v>31</v>
      </c>
      <c r="D9" s="16" t="s">
        <v>42</v>
      </c>
      <c r="E9" s="16">
        <v>225</v>
      </c>
      <c r="F9" s="16">
        <v>0</v>
      </c>
      <c r="G9" s="16">
        <v>0</v>
      </c>
      <c r="H9" s="16">
        <f>SUM(Tabla24[[#This Row],[P1 + P4]:[P2 + P5]])</f>
        <v>225</v>
      </c>
      <c r="I9" s="16">
        <f>Tabla24[[#This Row],[P3 + P6]]</f>
        <v>0</v>
      </c>
      <c r="J9" s="16" t="s">
        <v>156</v>
      </c>
      <c r="K9" s="16" t="s">
        <v>156</v>
      </c>
      <c r="L9" s="16" t="s">
        <v>156</v>
      </c>
      <c r="M9" s="16" t="s">
        <v>156</v>
      </c>
      <c r="N9" s="16">
        <f>YEAR(Tabla24[[#This Row],[Fecha final]])</f>
        <v>2020</v>
      </c>
    </row>
    <row r="10" spans="1:14">
      <c r="A10" s="17">
        <v>43986</v>
      </c>
      <c r="B10" s="16" t="s">
        <v>341</v>
      </c>
      <c r="C10" s="16">
        <v>31</v>
      </c>
      <c r="D10" s="16" t="s">
        <v>42</v>
      </c>
      <c r="E10" s="16">
        <v>329</v>
      </c>
      <c r="F10" s="16">
        <v>0</v>
      </c>
      <c r="G10" s="16">
        <v>0</v>
      </c>
      <c r="H10" s="16">
        <f>SUM(Tabla24[[#This Row],[P1 + P4]:[P2 + P5]])</f>
        <v>329</v>
      </c>
      <c r="I10" s="16">
        <f>Tabla24[[#This Row],[P3 + P6]]</f>
        <v>0</v>
      </c>
      <c r="J10" s="16" t="s">
        <v>156</v>
      </c>
      <c r="K10" s="16" t="s">
        <v>156</v>
      </c>
      <c r="L10" s="16" t="s">
        <v>156</v>
      </c>
      <c r="M10" s="16" t="s">
        <v>156</v>
      </c>
      <c r="N10" s="16">
        <f>YEAR(Tabla24[[#This Row],[Fecha final]])</f>
        <v>2020</v>
      </c>
    </row>
    <row r="11" spans="1:14">
      <c r="A11" s="17">
        <v>44017</v>
      </c>
      <c r="B11" s="16" t="s">
        <v>340</v>
      </c>
      <c r="C11" s="16">
        <v>30</v>
      </c>
      <c r="D11" s="16" t="s">
        <v>42</v>
      </c>
      <c r="E11" s="16">
        <v>488</v>
      </c>
      <c r="F11" s="16">
        <v>0</v>
      </c>
      <c r="G11" s="16">
        <v>0</v>
      </c>
      <c r="H11" s="16">
        <f>SUM(Tabla24[[#This Row],[P1 + P4]:[P2 + P5]])</f>
        <v>488</v>
      </c>
      <c r="I11" s="16">
        <f>Tabla24[[#This Row],[P3 + P6]]</f>
        <v>0</v>
      </c>
      <c r="J11" s="16" t="s">
        <v>156</v>
      </c>
      <c r="K11" s="16" t="s">
        <v>156</v>
      </c>
      <c r="L11" s="16" t="s">
        <v>156</v>
      </c>
      <c r="M11" s="16" t="s">
        <v>156</v>
      </c>
      <c r="N11" s="16">
        <f>YEAR(Tabla24[[#This Row],[Fecha final]])</f>
        <v>2020</v>
      </c>
    </row>
    <row r="12" spans="1:14">
      <c r="A12" s="17">
        <v>44047</v>
      </c>
      <c r="B12" s="16" t="s">
        <v>339</v>
      </c>
      <c r="C12" s="16">
        <v>30</v>
      </c>
      <c r="D12" s="16" t="s">
        <v>42</v>
      </c>
      <c r="E12" s="16">
        <v>396</v>
      </c>
      <c r="F12" s="16">
        <v>0</v>
      </c>
      <c r="G12" s="16">
        <v>0</v>
      </c>
      <c r="H12" s="16">
        <f>SUM(Tabla24[[#This Row],[P1 + P4]:[P2 + P5]])</f>
        <v>396</v>
      </c>
      <c r="I12" s="16">
        <f>Tabla24[[#This Row],[P3 + P6]]</f>
        <v>0</v>
      </c>
      <c r="J12" s="16" t="s">
        <v>156</v>
      </c>
      <c r="K12" s="16" t="s">
        <v>156</v>
      </c>
      <c r="L12" s="16" t="s">
        <v>156</v>
      </c>
      <c r="M12" s="16" t="s">
        <v>156</v>
      </c>
      <c r="N12" s="16">
        <f>YEAR(Tabla24[[#This Row],[Fecha final]])</f>
        <v>2020</v>
      </c>
    </row>
    <row r="13" spans="1:14">
      <c r="A13" s="17">
        <v>44077</v>
      </c>
      <c r="B13" s="16" t="s">
        <v>338</v>
      </c>
      <c r="C13" s="16">
        <v>30</v>
      </c>
      <c r="D13" s="16" t="s">
        <v>42</v>
      </c>
      <c r="E13" s="16">
        <v>427</v>
      </c>
      <c r="F13" s="16">
        <v>0</v>
      </c>
      <c r="G13" s="16">
        <v>0</v>
      </c>
      <c r="H13" s="16">
        <f>SUM(Tabla24[[#This Row],[P1 + P4]:[P2 + P5]])</f>
        <v>427</v>
      </c>
      <c r="I13" s="16">
        <f>Tabla24[[#This Row],[P3 + P6]]</f>
        <v>0</v>
      </c>
      <c r="J13" s="16" t="s">
        <v>156</v>
      </c>
      <c r="K13" s="16" t="s">
        <v>156</v>
      </c>
      <c r="L13" s="16" t="s">
        <v>156</v>
      </c>
      <c r="M13" s="16" t="s">
        <v>156</v>
      </c>
      <c r="N13" s="16">
        <f>YEAR(Tabla24[[#This Row],[Fecha final]])</f>
        <v>2020</v>
      </c>
    </row>
    <row r="14" spans="1:14">
      <c r="A14" s="17">
        <v>44107</v>
      </c>
      <c r="B14" s="16" t="s">
        <v>337</v>
      </c>
      <c r="C14" s="16">
        <v>32</v>
      </c>
      <c r="D14" s="16" t="s">
        <v>42</v>
      </c>
      <c r="E14" s="16">
        <v>564</v>
      </c>
      <c r="F14" s="16">
        <v>0</v>
      </c>
      <c r="G14" s="16">
        <v>0</v>
      </c>
      <c r="H14" s="16">
        <f>SUM(Tabla24[[#This Row],[P1 + P4]:[P2 + P5]])</f>
        <v>564</v>
      </c>
      <c r="I14" s="16">
        <f>Tabla24[[#This Row],[P3 + P6]]</f>
        <v>0</v>
      </c>
      <c r="J14" s="16" t="s">
        <v>156</v>
      </c>
      <c r="K14" s="16" t="s">
        <v>156</v>
      </c>
      <c r="L14" s="16" t="s">
        <v>156</v>
      </c>
      <c r="M14" s="16" t="s">
        <v>156</v>
      </c>
      <c r="N14" s="16">
        <f>YEAR(Tabla24[[#This Row],[Fecha final]])</f>
        <v>2020</v>
      </c>
    </row>
    <row r="15" spans="1:14">
      <c r="A15" s="17">
        <v>44139</v>
      </c>
      <c r="B15" s="16" t="s">
        <v>284</v>
      </c>
      <c r="C15" s="16">
        <v>29</v>
      </c>
      <c r="D15" s="16" t="s">
        <v>42</v>
      </c>
      <c r="E15" s="16">
        <v>623</v>
      </c>
      <c r="F15" s="16">
        <v>0</v>
      </c>
      <c r="G15" s="16">
        <v>0</v>
      </c>
      <c r="H15" s="16">
        <f>SUM(Tabla24[[#This Row],[P1 + P4]:[P2 + P5]])</f>
        <v>623</v>
      </c>
      <c r="I15" s="16">
        <f>Tabla24[[#This Row],[P3 + P6]]</f>
        <v>0</v>
      </c>
      <c r="J15" s="16" t="s">
        <v>156</v>
      </c>
      <c r="K15" s="16" t="s">
        <v>156</v>
      </c>
      <c r="L15" s="16" t="s">
        <v>156</v>
      </c>
      <c r="M15" s="16" t="s">
        <v>156</v>
      </c>
      <c r="N15" s="16">
        <f>YEAR(Tabla24[[#This Row],[Fecha final]])</f>
        <v>2020</v>
      </c>
    </row>
    <row r="16" spans="1:14">
      <c r="A16" s="17">
        <v>44168</v>
      </c>
      <c r="B16" s="16" t="s">
        <v>262</v>
      </c>
      <c r="C16" s="16">
        <v>32</v>
      </c>
      <c r="D16" s="16" t="s">
        <v>42</v>
      </c>
      <c r="E16" s="16">
        <v>877</v>
      </c>
      <c r="F16" s="16">
        <v>0</v>
      </c>
      <c r="G16" s="16">
        <v>0</v>
      </c>
      <c r="H16" s="16">
        <f>SUM(Tabla24[[#This Row],[P1 + P4]:[P2 + P5]])</f>
        <v>877</v>
      </c>
      <c r="I16" s="16">
        <f>Tabla24[[#This Row],[P3 + P6]]</f>
        <v>0</v>
      </c>
      <c r="J16" s="16" t="s">
        <v>156</v>
      </c>
      <c r="K16" s="16" t="s">
        <v>156</v>
      </c>
      <c r="L16" s="16" t="s">
        <v>156</v>
      </c>
      <c r="M16" s="16" t="s">
        <v>156</v>
      </c>
      <c r="N16" s="16">
        <f>YEAR(Tabla24[[#This Row],[Fecha final]])</f>
        <v>2021</v>
      </c>
    </row>
    <row r="17" spans="1:14">
      <c r="A17" s="17">
        <v>44200</v>
      </c>
      <c r="B17" s="16" t="s">
        <v>336</v>
      </c>
      <c r="C17" s="16">
        <v>31</v>
      </c>
      <c r="D17" s="16" t="s">
        <v>42</v>
      </c>
      <c r="E17" s="16">
        <v>955</v>
      </c>
      <c r="F17" s="16">
        <v>0</v>
      </c>
      <c r="G17" s="16">
        <v>0</v>
      </c>
      <c r="H17" s="16">
        <f>SUM(Tabla24[[#This Row],[P1 + P4]:[P2 + P5]])</f>
        <v>955</v>
      </c>
      <c r="I17" s="16">
        <f>Tabla24[[#This Row],[P3 + P6]]</f>
        <v>0</v>
      </c>
      <c r="J17" s="16" t="s">
        <v>156</v>
      </c>
      <c r="K17" s="16" t="s">
        <v>156</v>
      </c>
      <c r="L17" s="16" t="s">
        <v>156</v>
      </c>
      <c r="M17" s="16" t="s">
        <v>156</v>
      </c>
      <c r="N17" s="16">
        <f>YEAR(Tabla24[[#This Row],[Fecha final]])</f>
        <v>2021</v>
      </c>
    </row>
    <row r="18" spans="1:14">
      <c r="A18" s="17">
        <v>44231</v>
      </c>
      <c r="B18" s="16" t="s">
        <v>335</v>
      </c>
      <c r="C18" s="16">
        <v>28</v>
      </c>
      <c r="D18" s="16" t="s">
        <v>42</v>
      </c>
      <c r="E18" s="16">
        <v>848</v>
      </c>
      <c r="F18" s="16">
        <v>0</v>
      </c>
      <c r="G18" s="16">
        <v>0</v>
      </c>
      <c r="H18" s="16">
        <f>SUM(Tabla24[[#This Row],[P1 + P4]:[P2 + P5]])</f>
        <v>848</v>
      </c>
      <c r="I18" s="16">
        <f>Tabla24[[#This Row],[P3 + P6]]</f>
        <v>0</v>
      </c>
      <c r="J18" s="16" t="s">
        <v>156</v>
      </c>
      <c r="K18" s="16" t="s">
        <v>156</v>
      </c>
      <c r="L18" s="16" t="s">
        <v>156</v>
      </c>
      <c r="M18" s="16" t="s">
        <v>156</v>
      </c>
      <c r="N18" s="16">
        <f>YEAR(Tabla24[[#This Row],[Fecha final]])</f>
        <v>2021</v>
      </c>
    </row>
    <row r="19" spans="1:14">
      <c r="A19" s="17">
        <v>44259</v>
      </c>
      <c r="B19" s="16" t="s">
        <v>334</v>
      </c>
      <c r="C19" s="16">
        <v>30</v>
      </c>
      <c r="D19" s="16" t="s">
        <v>42</v>
      </c>
      <c r="E19" s="16">
        <v>696</v>
      </c>
      <c r="F19" s="16">
        <v>0</v>
      </c>
      <c r="G19" s="16">
        <v>0</v>
      </c>
      <c r="H19" s="16">
        <f>SUM(Tabla24[[#This Row],[P1 + P4]:[P2 + P5]])</f>
        <v>696</v>
      </c>
      <c r="I19" s="16">
        <f>Tabla24[[#This Row],[P3 + P6]]</f>
        <v>0</v>
      </c>
      <c r="J19" s="16" t="s">
        <v>156</v>
      </c>
      <c r="K19" s="16" t="s">
        <v>156</v>
      </c>
      <c r="L19" s="16" t="s">
        <v>156</v>
      </c>
      <c r="M19" s="16" t="s">
        <v>156</v>
      </c>
      <c r="N19" s="16">
        <f>YEAR(Tabla24[[#This Row],[Fecha final]])</f>
        <v>2021</v>
      </c>
    </row>
    <row r="20" spans="1:14">
      <c r="A20" s="17">
        <v>44289</v>
      </c>
      <c r="B20" s="16" t="s">
        <v>333</v>
      </c>
      <c r="C20" s="16">
        <v>31</v>
      </c>
      <c r="D20" s="16" t="s">
        <v>42</v>
      </c>
      <c r="E20" s="16">
        <v>576</v>
      </c>
      <c r="F20" s="16">
        <v>0</v>
      </c>
      <c r="G20" s="16">
        <v>0</v>
      </c>
      <c r="H20" s="16">
        <f>SUM(Tabla24[[#This Row],[P1 + P4]:[P2 + P5]])</f>
        <v>576</v>
      </c>
      <c r="I20" s="16">
        <f>Tabla24[[#This Row],[P3 + P6]]</f>
        <v>0</v>
      </c>
      <c r="J20" s="16" t="s">
        <v>156</v>
      </c>
      <c r="K20" s="16" t="s">
        <v>156</v>
      </c>
      <c r="L20" s="16" t="s">
        <v>156</v>
      </c>
      <c r="M20" s="16" t="s">
        <v>156</v>
      </c>
      <c r="N20" s="16">
        <f>YEAR(Tabla24[[#This Row],[Fecha final]])</f>
        <v>2021</v>
      </c>
    </row>
    <row r="21" spans="1:14">
      <c r="A21" s="17">
        <v>44320</v>
      </c>
      <c r="B21" s="16" t="s">
        <v>51</v>
      </c>
      <c r="C21" s="16">
        <v>27</v>
      </c>
      <c r="D21" s="16" t="s">
        <v>42</v>
      </c>
      <c r="E21" s="16">
        <v>452</v>
      </c>
      <c r="F21" s="16">
        <v>0</v>
      </c>
      <c r="G21" s="16">
        <v>0</v>
      </c>
      <c r="H21" s="16">
        <f>SUM(Tabla24[[#This Row],[P1 + P4]:[P2 + P5]])</f>
        <v>452</v>
      </c>
      <c r="I21" s="16">
        <f>Tabla24[[#This Row],[P3 + P6]]</f>
        <v>0</v>
      </c>
      <c r="J21" s="16" t="s">
        <v>156</v>
      </c>
      <c r="K21" s="16" t="s">
        <v>156</v>
      </c>
      <c r="L21" s="16" t="s">
        <v>156</v>
      </c>
      <c r="M21" s="16" t="s">
        <v>156</v>
      </c>
      <c r="N21" s="16">
        <f>YEAR(Tabla24[[#This Row],[Fecha final]])</f>
        <v>2021</v>
      </c>
    </row>
    <row r="22" spans="1:14">
      <c r="A22" s="17">
        <v>44347</v>
      </c>
      <c r="B22" s="16" t="s">
        <v>332</v>
      </c>
      <c r="C22" s="16">
        <v>34</v>
      </c>
      <c r="D22" s="16" t="s">
        <v>42</v>
      </c>
      <c r="E22" s="16">
        <v>167</v>
      </c>
      <c r="F22" s="16">
        <v>135</v>
      </c>
      <c r="G22" s="16">
        <v>159</v>
      </c>
      <c r="H22" s="16">
        <f>SUM(Tabla24[[#This Row],[P1 + P4]:[P2 + P5]])</f>
        <v>302</v>
      </c>
      <c r="I22" s="16">
        <f>Tabla24[[#This Row],[P3 + P6]]</f>
        <v>159</v>
      </c>
      <c r="J22" s="16" t="s">
        <v>156</v>
      </c>
      <c r="K22" s="16" t="s">
        <v>156</v>
      </c>
      <c r="L22" s="16" t="s">
        <v>156</v>
      </c>
      <c r="M22" s="16" t="s">
        <v>156</v>
      </c>
      <c r="N22" s="16">
        <f>YEAR(Tabla24[[#This Row],[Fecha final]])</f>
        <v>2021</v>
      </c>
    </row>
    <row r="23" spans="1:14">
      <c r="A23" s="17">
        <v>44381</v>
      </c>
      <c r="B23" s="16" t="s">
        <v>331</v>
      </c>
      <c r="C23" s="16">
        <v>30</v>
      </c>
      <c r="D23" s="16" t="s">
        <v>42</v>
      </c>
      <c r="E23" s="16">
        <v>144</v>
      </c>
      <c r="F23" s="16">
        <v>113</v>
      </c>
      <c r="G23" s="16">
        <v>127</v>
      </c>
      <c r="H23" s="16">
        <f>SUM(Tabla24[[#This Row],[P1 + P4]:[P2 + P5]])</f>
        <v>257</v>
      </c>
      <c r="I23" s="16">
        <f>Tabla24[[#This Row],[P3 + P6]]</f>
        <v>127</v>
      </c>
      <c r="J23" s="16" t="s">
        <v>156</v>
      </c>
      <c r="K23" s="16" t="s">
        <v>156</v>
      </c>
      <c r="L23" s="16" t="s">
        <v>156</v>
      </c>
      <c r="M23" s="16" t="s">
        <v>156</v>
      </c>
      <c r="N23" s="16">
        <f>YEAR(Tabla24[[#This Row],[Fecha final]])</f>
        <v>2021</v>
      </c>
    </row>
    <row r="24" spans="1:14">
      <c r="A24" s="17">
        <v>44411</v>
      </c>
      <c r="B24" s="16" t="s">
        <v>330</v>
      </c>
      <c r="C24" s="16">
        <v>33</v>
      </c>
      <c r="D24" s="16" t="s">
        <v>42</v>
      </c>
      <c r="E24" s="16">
        <v>147</v>
      </c>
      <c r="F24" s="16">
        <v>108</v>
      </c>
      <c r="G24" s="16">
        <v>150</v>
      </c>
      <c r="H24" s="16">
        <f>SUM(Tabla24[[#This Row],[P1 + P4]:[P2 + P5]])</f>
        <v>255</v>
      </c>
      <c r="I24" s="16">
        <f>Tabla24[[#This Row],[P3 + P6]]</f>
        <v>150</v>
      </c>
      <c r="J24" s="16" t="s">
        <v>156</v>
      </c>
      <c r="K24" s="16" t="s">
        <v>156</v>
      </c>
      <c r="L24" s="16" t="s">
        <v>156</v>
      </c>
      <c r="M24" s="16" t="s">
        <v>156</v>
      </c>
      <c r="N24" s="16">
        <f>YEAR(Tabla24[[#This Row],[Fecha final]])</f>
        <v>2021</v>
      </c>
    </row>
    <row r="25" spans="1:14">
      <c r="A25" s="17">
        <v>44444</v>
      </c>
      <c r="B25" s="16" t="s">
        <v>56</v>
      </c>
      <c r="C25" s="16">
        <v>29</v>
      </c>
      <c r="D25" s="16" t="s">
        <v>42</v>
      </c>
      <c r="E25" s="16">
        <v>150</v>
      </c>
      <c r="F25" s="16">
        <v>140</v>
      </c>
      <c r="G25" s="16">
        <v>140</v>
      </c>
      <c r="H25" s="16">
        <f>SUM(Tabla24[[#This Row],[P1 + P4]:[P2 + P5]])</f>
        <v>290</v>
      </c>
      <c r="I25" s="16">
        <f>Tabla24[[#This Row],[P3 + P6]]</f>
        <v>140</v>
      </c>
      <c r="J25" s="16" t="s">
        <v>156</v>
      </c>
      <c r="K25" s="16" t="s">
        <v>156</v>
      </c>
      <c r="L25" s="16" t="s">
        <v>156</v>
      </c>
      <c r="M25" s="16" t="s">
        <v>156</v>
      </c>
      <c r="N25" s="16">
        <f>YEAR(Tabla24[[#This Row],[Fecha final]])</f>
        <v>2021</v>
      </c>
    </row>
    <row r="26" spans="1:14">
      <c r="A26" s="17">
        <v>44473</v>
      </c>
      <c r="B26" s="16" t="s">
        <v>329</v>
      </c>
      <c r="C26" s="16">
        <v>31</v>
      </c>
      <c r="D26" s="16" t="s">
        <v>42</v>
      </c>
      <c r="E26" s="16">
        <v>198</v>
      </c>
      <c r="F26" s="16">
        <v>198</v>
      </c>
      <c r="G26" s="16">
        <v>183</v>
      </c>
      <c r="H26" s="16">
        <f>SUM(Tabla24[[#This Row],[P1 + P4]:[P2 + P5]])</f>
        <v>396</v>
      </c>
      <c r="I26" s="16">
        <f>Tabla24[[#This Row],[P3 + P6]]</f>
        <v>183</v>
      </c>
      <c r="J26" s="16" t="s">
        <v>156</v>
      </c>
      <c r="K26" s="16" t="s">
        <v>156</v>
      </c>
      <c r="L26" s="16" t="s">
        <v>156</v>
      </c>
      <c r="M26" s="16" t="s">
        <v>156</v>
      </c>
      <c r="N26" s="16">
        <f>YEAR(Tabla24[[#This Row],[Fecha final]])</f>
        <v>2021</v>
      </c>
    </row>
    <row r="27" spans="1:14">
      <c r="A27" s="17">
        <v>44504</v>
      </c>
      <c r="B27" s="16" t="s">
        <v>59</v>
      </c>
      <c r="C27" s="16">
        <v>28</v>
      </c>
      <c r="D27" s="16" t="s">
        <v>42</v>
      </c>
      <c r="E27" s="16">
        <v>331</v>
      </c>
      <c r="F27" s="16">
        <v>360</v>
      </c>
      <c r="G27" s="16">
        <v>142</v>
      </c>
      <c r="H27" s="16">
        <f>SUM(Tabla24[[#This Row],[P1 + P4]:[P2 + P5]])</f>
        <v>691</v>
      </c>
      <c r="I27" s="16">
        <f>Tabla24[[#This Row],[P3 + P6]]</f>
        <v>142</v>
      </c>
      <c r="J27" s="16" t="s">
        <v>156</v>
      </c>
      <c r="K27" s="16" t="s">
        <v>156</v>
      </c>
      <c r="L27" s="16" t="s">
        <v>156</v>
      </c>
      <c r="M27" s="16" t="s">
        <v>156</v>
      </c>
      <c r="N27" s="16">
        <f>YEAR(Tabla24[[#This Row],[Fecha final]])</f>
        <v>2021</v>
      </c>
    </row>
    <row r="28" spans="1:14">
      <c r="A28" s="17">
        <v>44532</v>
      </c>
      <c r="B28" s="16" t="s">
        <v>328</v>
      </c>
      <c r="C28" s="16">
        <v>5</v>
      </c>
      <c r="D28" s="16" t="s">
        <v>42</v>
      </c>
      <c r="E28" s="16">
        <v>16</v>
      </c>
      <c r="F28" s="16">
        <v>14</v>
      </c>
      <c r="G28" s="16">
        <v>19</v>
      </c>
      <c r="H28" s="16">
        <f>SUM(Tabla24[[#This Row],[P1 + P4]:[P2 + P5]])</f>
        <v>30</v>
      </c>
      <c r="I28" s="16">
        <f>Tabla24[[#This Row],[P3 + P6]]</f>
        <v>19</v>
      </c>
      <c r="J28" s="16" t="s">
        <v>156</v>
      </c>
      <c r="K28" s="16" t="s">
        <v>156</v>
      </c>
      <c r="L28" s="16" t="s">
        <v>156</v>
      </c>
      <c r="M28" s="16" t="s">
        <v>156</v>
      </c>
      <c r="N28" s="16">
        <f>YEAR(Tabla24[[#This Row],[Fecha final]])</f>
        <v>2021</v>
      </c>
    </row>
    <row r="29" spans="1:14">
      <c r="A29" s="17">
        <v>44565</v>
      </c>
      <c r="B29" s="16" t="s">
        <v>113</v>
      </c>
      <c r="C29" s="16">
        <v>9</v>
      </c>
      <c r="D29" s="16" t="s">
        <v>42</v>
      </c>
      <c r="E29" s="16">
        <v>23</v>
      </c>
      <c r="F29" s="16">
        <v>12</v>
      </c>
      <c r="G29" s="16">
        <v>39</v>
      </c>
      <c r="H29" s="16">
        <f>SUM(Tabla24[[#This Row],[P1 + P4]:[P2 + P5]])</f>
        <v>35</v>
      </c>
      <c r="I29" s="16">
        <f>Tabla24[[#This Row],[P3 + P6]]</f>
        <v>39</v>
      </c>
      <c r="J29" s="16" t="s">
        <v>156</v>
      </c>
      <c r="K29" s="16" t="s">
        <v>156</v>
      </c>
      <c r="L29" s="16" t="s">
        <v>156</v>
      </c>
      <c r="M29" s="16" t="s">
        <v>156</v>
      </c>
      <c r="N29" s="16">
        <f>YEAR(Tabla24[[#This Row],[Fecha final]])</f>
        <v>2022</v>
      </c>
    </row>
    <row r="30" spans="1:14">
      <c r="A30" s="17">
        <v>44574</v>
      </c>
      <c r="B30" s="16" t="s">
        <v>326</v>
      </c>
      <c r="C30" s="16">
        <v>27</v>
      </c>
      <c r="D30" s="16" t="s">
        <v>42</v>
      </c>
      <c r="E30" s="16">
        <v>237</v>
      </c>
      <c r="F30" s="16">
        <v>202</v>
      </c>
      <c r="G30" s="16">
        <v>127</v>
      </c>
      <c r="H30" s="16">
        <f>SUM(Tabla24[[#This Row],[P1 + P4]:[P2 + P5]])</f>
        <v>439</v>
      </c>
      <c r="I30" s="16">
        <f>Tabla24[[#This Row],[P3 + P6]]</f>
        <v>127</v>
      </c>
      <c r="J30" s="16" t="s">
        <v>156</v>
      </c>
      <c r="K30" s="16" t="s">
        <v>156</v>
      </c>
      <c r="L30" s="16" t="s">
        <v>156</v>
      </c>
      <c r="M30" s="16" t="s">
        <v>156</v>
      </c>
      <c r="N30" s="16">
        <f>YEAR(Tabla24[[#This Row],[Fecha final]])</f>
        <v>2022</v>
      </c>
    </row>
    <row r="31" spans="1:14">
      <c r="A31" s="17">
        <v>44601</v>
      </c>
      <c r="B31" s="16" t="s">
        <v>325</v>
      </c>
      <c r="C31" s="16">
        <v>22</v>
      </c>
      <c r="D31" s="16" t="s">
        <v>42</v>
      </c>
      <c r="E31" s="16">
        <v>284</v>
      </c>
      <c r="F31" s="16">
        <v>258</v>
      </c>
      <c r="G31" s="16">
        <v>157</v>
      </c>
      <c r="H31" s="16">
        <f>SUM(Tabla24[[#This Row],[P1 + P4]:[P2 + P5]])</f>
        <v>542</v>
      </c>
      <c r="I31" s="16">
        <f>Tabla24[[#This Row],[P3 + P6]]</f>
        <v>157</v>
      </c>
      <c r="J31" s="16" t="s">
        <v>156</v>
      </c>
      <c r="K31" s="16" t="s">
        <v>156</v>
      </c>
      <c r="L31" s="16" t="s">
        <v>156</v>
      </c>
      <c r="M31" s="16" t="s">
        <v>156</v>
      </c>
      <c r="N31" s="16">
        <f>YEAR(Tabla24[[#This Row],[Fecha final]])</f>
        <v>2022</v>
      </c>
    </row>
    <row r="32" spans="1:14">
      <c r="A32" s="17">
        <v>44623</v>
      </c>
      <c r="B32" s="16" t="s">
        <v>324</v>
      </c>
      <c r="C32" s="16">
        <v>31</v>
      </c>
      <c r="D32" s="16" t="s">
        <v>42</v>
      </c>
      <c r="E32" s="16">
        <v>296</v>
      </c>
      <c r="F32" s="16">
        <v>266</v>
      </c>
      <c r="G32" s="16">
        <v>154</v>
      </c>
      <c r="H32" s="16">
        <f>SUM(Tabla24[[#This Row],[P1 + P4]:[P2 + P5]])</f>
        <v>562</v>
      </c>
      <c r="I32" s="16">
        <f>Tabla24[[#This Row],[P3 + P6]]</f>
        <v>154</v>
      </c>
      <c r="J32" s="16" t="s">
        <v>156</v>
      </c>
      <c r="K32" s="16" t="s">
        <v>156</v>
      </c>
      <c r="L32" s="16" t="s">
        <v>156</v>
      </c>
      <c r="M32" s="16" t="s">
        <v>156</v>
      </c>
      <c r="N32" s="16">
        <f>YEAR(Tabla24[[#This Row],[Fecha final]])</f>
        <v>2022</v>
      </c>
    </row>
    <row r="33" spans="1:14">
      <c r="A33" s="17">
        <v>44654</v>
      </c>
      <c r="B33" s="16" t="s">
        <v>323</v>
      </c>
      <c r="C33" s="16">
        <v>31</v>
      </c>
      <c r="D33" s="16" t="s">
        <v>42</v>
      </c>
      <c r="E33" s="16">
        <v>262</v>
      </c>
      <c r="F33" s="16">
        <v>212</v>
      </c>
      <c r="G33" s="16">
        <v>107</v>
      </c>
      <c r="H33" s="16">
        <f>SUM(Tabla24[[#This Row],[P1 + P4]:[P2 + P5]])</f>
        <v>474</v>
      </c>
      <c r="I33" s="16">
        <f>Tabla24[[#This Row],[P3 + P6]]</f>
        <v>107</v>
      </c>
      <c r="J33" s="16" t="s">
        <v>156</v>
      </c>
      <c r="K33" s="16" t="s">
        <v>156</v>
      </c>
      <c r="L33" s="16" t="s">
        <v>156</v>
      </c>
      <c r="M33" s="16" t="s">
        <v>156</v>
      </c>
      <c r="N33" s="16">
        <f>YEAR(Tabla24[[#This Row],[Fecha final]])</f>
        <v>2022</v>
      </c>
    </row>
    <row r="34" spans="1:14">
      <c r="A34" s="17">
        <v>44685</v>
      </c>
      <c r="B34" s="16" t="s">
        <v>322</v>
      </c>
      <c r="C34" s="16">
        <v>32</v>
      </c>
      <c r="D34" s="16" t="s">
        <v>42</v>
      </c>
      <c r="E34" s="16">
        <v>156</v>
      </c>
      <c r="F34" s="16">
        <v>134</v>
      </c>
      <c r="G34" s="16">
        <v>129</v>
      </c>
      <c r="H34" s="16">
        <f>SUM(Tabla24[[#This Row],[P1 + P4]:[P2 + P5]])</f>
        <v>290</v>
      </c>
      <c r="I34" s="16">
        <f>Tabla24[[#This Row],[P3 + P6]]</f>
        <v>129</v>
      </c>
      <c r="J34" s="16" t="s">
        <v>156</v>
      </c>
      <c r="K34" s="16" t="s">
        <v>156</v>
      </c>
      <c r="L34" s="16" t="s">
        <v>156</v>
      </c>
      <c r="M34" s="16" t="s">
        <v>156</v>
      </c>
      <c r="N34" s="16">
        <f>YEAR(Tabla24[[#This Row],[Fecha final]])</f>
        <v>2022</v>
      </c>
    </row>
    <row r="35" spans="1:14">
      <c r="A35" s="17">
        <v>44717</v>
      </c>
      <c r="B35" s="16" t="s">
        <v>321</v>
      </c>
      <c r="C35" s="16">
        <v>29</v>
      </c>
      <c r="D35" s="16" t="s">
        <v>42</v>
      </c>
      <c r="E35" s="16">
        <v>149</v>
      </c>
      <c r="F35" s="16">
        <v>130</v>
      </c>
      <c r="G35" s="16">
        <v>117</v>
      </c>
      <c r="H35" s="16">
        <f>SUM(Tabla24[[#This Row],[P1 + P4]:[P2 + P5]])</f>
        <v>279</v>
      </c>
      <c r="I35" s="16">
        <f>Tabla24[[#This Row],[P3 + P6]]</f>
        <v>117</v>
      </c>
      <c r="J35" s="16" t="s">
        <v>156</v>
      </c>
      <c r="K35" s="16" t="s">
        <v>156</v>
      </c>
      <c r="L35" s="16" t="s">
        <v>156</v>
      </c>
      <c r="M35" s="16" t="s">
        <v>156</v>
      </c>
      <c r="N35" s="16">
        <f>YEAR(Tabla24[[#This Row],[Fecha final]])</f>
        <v>2022</v>
      </c>
    </row>
    <row r="36" spans="1:14">
      <c r="A36" s="17">
        <v>44746</v>
      </c>
      <c r="B36" s="16" t="s">
        <v>320</v>
      </c>
      <c r="C36" s="16">
        <v>31</v>
      </c>
      <c r="D36" s="16" t="s">
        <v>42</v>
      </c>
      <c r="E36" s="16">
        <v>184</v>
      </c>
      <c r="F36" s="16">
        <v>151</v>
      </c>
      <c r="G36" s="16">
        <v>125</v>
      </c>
      <c r="H36" s="16">
        <f>SUM(Tabla24[[#This Row],[P1 + P4]:[P2 + P5]])</f>
        <v>335</v>
      </c>
      <c r="I36" s="16">
        <f>Tabla24[[#This Row],[P3 + P6]]</f>
        <v>125</v>
      </c>
      <c r="J36" s="16" t="s">
        <v>156</v>
      </c>
      <c r="K36" s="16" t="s">
        <v>156</v>
      </c>
      <c r="L36" s="16" t="s">
        <v>156</v>
      </c>
      <c r="M36" s="16" t="s">
        <v>156</v>
      </c>
      <c r="N36" s="16">
        <f>YEAR(Tabla24[[#This Row],[Fecha final]])</f>
        <v>2022</v>
      </c>
    </row>
    <row r="37" spans="1:14">
      <c r="A37" s="17">
        <v>44777</v>
      </c>
      <c r="B37" s="16" t="s">
        <v>319</v>
      </c>
      <c r="C37" s="16">
        <v>31</v>
      </c>
      <c r="D37" s="16" t="s">
        <v>42</v>
      </c>
      <c r="E37" s="16">
        <v>116</v>
      </c>
      <c r="F37" s="16">
        <v>96</v>
      </c>
      <c r="G37" s="16">
        <v>99</v>
      </c>
      <c r="H37" s="16">
        <f>SUM(Tabla24[[#This Row],[P1 + P4]:[P2 + P5]])</f>
        <v>212</v>
      </c>
      <c r="I37" s="16">
        <f>Tabla24[[#This Row],[P3 + P6]]</f>
        <v>99</v>
      </c>
      <c r="J37" s="16" t="s">
        <v>156</v>
      </c>
      <c r="K37" s="16" t="s">
        <v>156</v>
      </c>
      <c r="L37" s="16" t="s">
        <v>156</v>
      </c>
      <c r="M37" s="16" t="s">
        <v>156</v>
      </c>
      <c r="N37" s="16">
        <f>YEAR(Tabla24[[#This Row],[Fecha final]])</f>
        <v>2022</v>
      </c>
    </row>
    <row r="38" spans="1:14">
      <c r="A38" s="17">
        <v>44808</v>
      </c>
      <c r="B38" s="16" t="s">
        <v>318</v>
      </c>
      <c r="C38" s="16">
        <v>30</v>
      </c>
      <c r="D38" s="16" t="s">
        <v>42</v>
      </c>
      <c r="E38" s="16">
        <v>153</v>
      </c>
      <c r="F38" s="16">
        <v>134</v>
      </c>
      <c r="G38" s="16">
        <v>100</v>
      </c>
      <c r="H38" s="16">
        <f>SUM(Tabla24[[#This Row],[P1 + P4]:[P2 + P5]])</f>
        <v>287</v>
      </c>
      <c r="I38" s="16">
        <f>Tabla24[[#This Row],[P3 + P6]]</f>
        <v>100</v>
      </c>
      <c r="J38" s="16" t="s">
        <v>156</v>
      </c>
      <c r="K38" s="16" t="s">
        <v>156</v>
      </c>
      <c r="L38" s="16" t="s">
        <v>156</v>
      </c>
      <c r="M38" s="16" t="s">
        <v>156</v>
      </c>
      <c r="N38" s="16">
        <f>YEAR(Tabla24[[#This Row],[Fecha final]])</f>
        <v>2022</v>
      </c>
    </row>
    <row r="39" spans="1:14">
      <c r="A39" s="17">
        <v>44838</v>
      </c>
      <c r="B39" s="16" t="s">
        <v>317</v>
      </c>
      <c r="C39" s="16">
        <v>30</v>
      </c>
      <c r="D39" s="16" t="s">
        <v>42</v>
      </c>
      <c r="E39" s="16">
        <v>143</v>
      </c>
      <c r="F39" s="16">
        <v>130</v>
      </c>
      <c r="G39" s="16">
        <v>132</v>
      </c>
      <c r="H39" s="16">
        <f>SUM(Tabla24[[#This Row],[P1 + P4]:[P2 + P5]])</f>
        <v>273</v>
      </c>
      <c r="I39" s="16">
        <f>Tabla24[[#This Row],[P3 + P6]]</f>
        <v>132</v>
      </c>
      <c r="J39" s="16" t="s">
        <v>156</v>
      </c>
      <c r="K39" s="16" t="s">
        <v>156</v>
      </c>
      <c r="L39" s="16" t="s">
        <v>156</v>
      </c>
      <c r="M39" s="16" t="s">
        <v>156</v>
      </c>
      <c r="N39" s="16">
        <f>YEAR(Tabla24[[#This Row],[Fecha final]])</f>
        <v>2022</v>
      </c>
    </row>
    <row r="40" spans="1:14">
      <c r="A40" s="17">
        <v>44868</v>
      </c>
      <c r="B40" s="16" t="s">
        <v>316</v>
      </c>
      <c r="C40" s="16">
        <v>31</v>
      </c>
      <c r="D40" s="16" t="s">
        <v>42</v>
      </c>
      <c r="E40" s="16">
        <v>199</v>
      </c>
      <c r="F40" s="16">
        <v>166</v>
      </c>
      <c r="G40" s="16">
        <v>159</v>
      </c>
      <c r="H40" s="16">
        <f>SUM(Tabla24[[#This Row],[P1 + P4]:[P2 + P5]])</f>
        <v>365</v>
      </c>
      <c r="I40" s="16">
        <f>Tabla24[[#This Row],[P3 + P6]]</f>
        <v>159</v>
      </c>
      <c r="J40" s="16" t="s">
        <v>156</v>
      </c>
      <c r="K40" s="16" t="s">
        <v>156</v>
      </c>
      <c r="L40" s="16" t="s">
        <v>156</v>
      </c>
      <c r="M40" s="16" t="s">
        <v>156</v>
      </c>
      <c r="N40" s="16">
        <f>YEAR(Tabla24[[#This Row],[Fecha final]])</f>
        <v>2022</v>
      </c>
    </row>
    <row r="41" spans="1:14">
      <c r="A41" s="17">
        <v>44899</v>
      </c>
      <c r="B41" s="16" t="s">
        <v>315</v>
      </c>
      <c r="C41" s="16">
        <v>31</v>
      </c>
      <c r="D41" s="16" t="s">
        <v>42</v>
      </c>
      <c r="E41" s="16">
        <v>242</v>
      </c>
      <c r="F41" s="16">
        <v>200</v>
      </c>
      <c r="G41" s="16">
        <v>163</v>
      </c>
      <c r="H41" s="16">
        <f>SUM(Tabla24[[#This Row],[P1 + P4]:[P2 + P5]])</f>
        <v>442</v>
      </c>
      <c r="I41" s="16">
        <f>Tabla24[[#This Row],[P3 + P6]]</f>
        <v>163</v>
      </c>
      <c r="J41" s="16" t="s">
        <v>156</v>
      </c>
      <c r="K41" s="16" t="s">
        <v>156</v>
      </c>
      <c r="L41" s="16" t="s">
        <v>156</v>
      </c>
      <c r="M41" s="16" t="s">
        <v>156</v>
      </c>
      <c r="N41" s="16">
        <f>YEAR(Tabla24[[#This Row],[Fecha final]])</f>
        <v>2023</v>
      </c>
    </row>
    <row r="42" spans="1:14">
      <c r="A42" s="17">
        <v>44930</v>
      </c>
      <c r="B42" s="16" t="s">
        <v>314</v>
      </c>
      <c r="C42" s="16">
        <v>32</v>
      </c>
      <c r="D42" s="16" t="s">
        <v>42</v>
      </c>
      <c r="E42" s="16">
        <v>294</v>
      </c>
      <c r="F42" s="16">
        <v>268</v>
      </c>
      <c r="G42" s="16">
        <v>182</v>
      </c>
      <c r="H42" s="16">
        <f>SUM(Tabla24[[#This Row],[P1 + P4]:[P2 + P5]])</f>
        <v>562</v>
      </c>
      <c r="I42" s="16">
        <f>Tabla24[[#This Row],[P3 + P6]]</f>
        <v>182</v>
      </c>
      <c r="J42" s="16" t="s">
        <v>156</v>
      </c>
      <c r="K42" s="16" t="s">
        <v>156</v>
      </c>
      <c r="L42" s="16" t="s">
        <v>156</v>
      </c>
      <c r="M42" s="16" t="s">
        <v>156</v>
      </c>
      <c r="N42" s="16">
        <f>YEAR(Tabla24[[#This Row],[Fecha final]])</f>
        <v>2023</v>
      </c>
    </row>
    <row r="43" spans="1:14">
      <c r="A43" s="17">
        <v>44962</v>
      </c>
      <c r="B43" s="16" t="s">
        <v>312</v>
      </c>
      <c r="C43" s="16">
        <v>28</v>
      </c>
      <c r="D43" s="16" t="s">
        <v>42</v>
      </c>
      <c r="E43" s="16">
        <v>304</v>
      </c>
      <c r="F43" s="16">
        <v>273</v>
      </c>
      <c r="G43" s="16">
        <v>196</v>
      </c>
      <c r="H43" s="16">
        <f>SUM(Tabla24[[#This Row],[P1 + P4]:[P2 + P5]])</f>
        <v>577</v>
      </c>
      <c r="I43" s="16">
        <f>Tabla24[[#This Row],[P3 + P6]]</f>
        <v>196</v>
      </c>
      <c r="J43" s="16" t="s">
        <v>156</v>
      </c>
      <c r="K43" s="16" t="s">
        <v>156</v>
      </c>
      <c r="L43" s="16" t="s">
        <v>156</v>
      </c>
      <c r="M43" s="16" t="s">
        <v>156</v>
      </c>
      <c r="N43" s="16">
        <f>YEAR(Tabla24[[#This Row],[Fecha final]])</f>
        <v>2023</v>
      </c>
    </row>
    <row r="44" spans="1:14">
      <c r="A44" s="17">
        <v>44990</v>
      </c>
      <c r="B44" s="16" t="s">
        <v>313</v>
      </c>
      <c r="C44" s="16">
        <v>30</v>
      </c>
      <c r="D44" s="16" t="s">
        <v>42</v>
      </c>
      <c r="E44" s="16">
        <v>279</v>
      </c>
      <c r="F44" s="16">
        <v>235</v>
      </c>
      <c r="G44" s="16">
        <v>182</v>
      </c>
      <c r="H44" s="16">
        <f>SUM(Tabla24[[#This Row],[P1 + P4]:[P2 + P5]])</f>
        <v>514</v>
      </c>
      <c r="I44" s="16">
        <f>Tabla24[[#This Row],[P3 + P6]]</f>
        <v>182</v>
      </c>
      <c r="J44" s="16" t="s">
        <v>156</v>
      </c>
      <c r="K44" s="16" t="s">
        <v>156</v>
      </c>
      <c r="L44" s="16" t="s">
        <v>156</v>
      </c>
      <c r="M44" s="16" t="s">
        <v>156</v>
      </c>
      <c r="N44" s="16">
        <f>YEAR(Tabla24[[#This Row],[Fecha final]])</f>
        <v>2023</v>
      </c>
    </row>
    <row r="47" spans="1:14">
      <c r="A47" s="16" t="s">
        <v>77</v>
      </c>
    </row>
    <row r="49" spans="1:7">
      <c r="A49" s="16" t="s">
        <v>37</v>
      </c>
      <c r="B49" s="16" t="s">
        <v>38</v>
      </c>
      <c r="C49" s="16" t="s">
        <v>39</v>
      </c>
      <c r="D49" s="16" t="s">
        <v>40</v>
      </c>
      <c r="E49" s="16" t="s">
        <v>32</v>
      </c>
      <c r="F49" s="16" t="s">
        <v>33</v>
      </c>
      <c r="G49" s="16" t="s">
        <v>34</v>
      </c>
    </row>
    <row r="50" spans="1:7">
      <c r="A50" s="16" t="s">
        <v>312</v>
      </c>
      <c r="B50" s="16" t="s">
        <v>313</v>
      </c>
      <c r="C50" s="16">
        <v>30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314</v>
      </c>
      <c r="B51" s="16" t="s">
        <v>312</v>
      </c>
      <c r="C51" s="16">
        <v>28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315</v>
      </c>
      <c r="B52" s="16" t="s">
        <v>314</v>
      </c>
      <c r="C52" s="16">
        <v>32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316</v>
      </c>
      <c r="B53" s="16" t="s">
        <v>315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317</v>
      </c>
      <c r="B54" s="16" t="s">
        <v>316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318</v>
      </c>
      <c r="B55" s="16" t="s">
        <v>317</v>
      </c>
      <c r="C55" s="16">
        <v>30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319</v>
      </c>
      <c r="B56" s="16" t="s">
        <v>318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320</v>
      </c>
      <c r="B57" s="16" t="s">
        <v>319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321</v>
      </c>
      <c r="B58" s="16" t="s">
        <v>320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322</v>
      </c>
      <c r="B59" s="16" t="s">
        <v>321</v>
      </c>
      <c r="C59" s="16">
        <v>29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323</v>
      </c>
      <c r="B60" s="16" t="s">
        <v>322</v>
      </c>
      <c r="C60" s="16">
        <v>32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324</v>
      </c>
      <c r="B61" s="16" t="s">
        <v>323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325</v>
      </c>
      <c r="B62" s="16" t="s">
        <v>324</v>
      </c>
      <c r="C62" s="16">
        <v>31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326</v>
      </c>
      <c r="B63" s="16" t="s">
        <v>325</v>
      </c>
      <c r="C63" s="16">
        <v>22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113</v>
      </c>
      <c r="B64" s="16" t="s">
        <v>326</v>
      </c>
      <c r="C64" s="16">
        <v>27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327</v>
      </c>
      <c r="B65" s="16" t="s">
        <v>113</v>
      </c>
      <c r="C65" s="16">
        <v>9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59</v>
      </c>
      <c r="B66" s="16" t="s">
        <v>328</v>
      </c>
      <c r="C66" s="16">
        <v>5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329</v>
      </c>
      <c r="B67" s="16" t="s">
        <v>59</v>
      </c>
      <c r="C67" s="16">
        <v>28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56</v>
      </c>
      <c r="B68" s="16" t="s">
        <v>329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330</v>
      </c>
      <c r="B69" s="16" t="s">
        <v>56</v>
      </c>
      <c r="C69" s="16">
        <v>29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331</v>
      </c>
      <c r="B70" s="16" t="s">
        <v>330</v>
      </c>
      <c r="C70" s="16">
        <v>33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332</v>
      </c>
      <c r="B71" s="16" t="s">
        <v>331</v>
      </c>
      <c r="C71" s="16">
        <v>30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51</v>
      </c>
      <c r="B72" s="16" t="s">
        <v>332</v>
      </c>
      <c r="C72" s="16">
        <v>34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333</v>
      </c>
      <c r="B73" s="16" t="s">
        <v>51</v>
      </c>
      <c r="C73" s="16">
        <v>27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334</v>
      </c>
      <c r="B74" s="16" t="s">
        <v>333</v>
      </c>
      <c r="C74" s="16">
        <v>31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335</v>
      </c>
      <c r="B75" s="16" t="s">
        <v>334</v>
      </c>
      <c r="C75" s="16">
        <v>30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336</v>
      </c>
      <c r="B76" s="16" t="s">
        <v>335</v>
      </c>
      <c r="C76" s="16">
        <v>28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262</v>
      </c>
      <c r="B77" s="16" t="s">
        <v>336</v>
      </c>
      <c r="C77" s="16">
        <v>31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284</v>
      </c>
      <c r="B78" s="16" t="s">
        <v>262</v>
      </c>
      <c r="C78" s="16">
        <v>32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337</v>
      </c>
      <c r="B79" s="16" t="s">
        <v>284</v>
      </c>
      <c r="C79" s="16">
        <v>29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338</v>
      </c>
      <c r="B80" s="16" t="s">
        <v>337</v>
      </c>
      <c r="C80" s="16">
        <v>32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339</v>
      </c>
      <c r="B81" s="16" t="s">
        <v>338</v>
      </c>
      <c r="C81" s="16">
        <v>30</v>
      </c>
      <c r="D81" s="16" t="s">
        <v>42</v>
      </c>
      <c r="E81" s="16">
        <v>0</v>
      </c>
      <c r="F81" s="16">
        <v>0</v>
      </c>
      <c r="G81" s="16">
        <v>0</v>
      </c>
    </row>
    <row r="82" spans="1:7">
      <c r="A82" s="16" t="s">
        <v>340</v>
      </c>
      <c r="B82" s="16" t="s">
        <v>339</v>
      </c>
      <c r="C82" s="16">
        <v>30</v>
      </c>
      <c r="D82" s="16" t="s">
        <v>42</v>
      </c>
      <c r="E82" s="16">
        <v>0</v>
      </c>
      <c r="F82" s="16">
        <v>0</v>
      </c>
      <c r="G82" s="16">
        <v>0</v>
      </c>
    </row>
    <row r="83" spans="1:7">
      <c r="A83" s="16" t="s">
        <v>341</v>
      </c>
      <c r="B83" s="16" t="s">
        <v>340</v>
      </c>
      <c r="C83" s="16">
        <v>30</v>
      </c>
      <c r="D83" s="16" t="s">
        <v>42</v>
      </c>
      <c r="E83" s="16">
        <v>0</v>
      </c>
      <c r="F83" s="16">
        <v>0</v>
      </c>
      <c r="G83" s="16">
        <v>0</v>
      </c>
    </row>
    <row r="84" spans="1:7">
      <c r="A84" s="16" t="s">
        <v>342</v>
      </c>
      <c r="B84" s="16" t="s">
        <v>341</v>
      </c>
      <c r="C84" s="16">
        <v>31</v>
      </c>
      <c r="D84" s="16" t="s">
        <v>42</v>
      </c>
      <c r="E84" s="16">
        <v>0</v>
      </c>
      <c r="F84" s="16">
        <v>0</v>
      </c>
      <c r="G84" s="16">
        <v>0</v>
      </c>
    </row>
    <row r="85" spans="1:7">
      <c r="A85" s="16" t="s">
        <v>343</v>
      </c>
      <c r="B85" s="16" t="s">
        <v>342</v>
      </c>
      <c r="C85" s="16">
        <v>31</v>
      </c>
      <c r="D85" s="16" t="s">
        <v>42</v>
      </c>
      <c r="E85" s="16">
        <v>0</v>
      </c>
      <c r="F85" s="16">
        <v>0</v>
      </c>
      <c r="G85" s="16">
        <v>0</v>
      </c>
    </row>
    <row r="86" spans="1:7">
      <c r="A86" s="16" t="s">
        <v>344</v>
      </c>
      <c r="B86" s="16" t="s">
        <v>343</v>
      </c>
      <c r="C86" s="16">
        <v>29</v>
      </c>
      <c r="D86" s="16" t="s">
        <v>42</v>
      </c>
      <c r="E86" s="16">
        <v>0</v>
      </c>
      <c r="F86" s="16">
        <v>0</v>
      </c>
      <c r="G86" s="16">
        <v>0</v>
      </c>
    </row>
    <row r="87" spans="1:7">
      <c r="A87" s="16" t="s">
        <v>345</v>
      </c>
      <c r="B87" s="16" t="s">
        <v>344</v>
      </c>
      <c r="C87" s="16">
        <v>32</v>
      </c>
      <c r="D87" s="16" t="s">
        <v>42</v>
      </c>
      <c r="E87" s="16">
        <v>0</v>
      </c>
      <c r="F87" s="16">
        <v>0</v>
      </c>
      <c r="G87" s="16">
        <v>0</v>
      </c>
    </row>
    <row r="90" spans="1:7">
      <c r="A90" s="16" t="s">
        <v>79</v>
      </c>
    </row>
    <row r="92" spans="1:7">
      <c r="A92" s="16" t="s">
        <v>80</v>
      </c>
      <c r="B92" s="16" t="s">
        <v>81</v>
      </c>
      <c r="C92" s="16" t="s">
        <v>82</v>
      </c>
      <c r="D92" s="16" t="s">
        <v>83</v>
      </c>
    </row>
    <row r="93" spans="1:7">
      <c r="A93" s="16" t="s">
        <v>84</v>
      </c>
      <c r="B93" s="16">
        <v>6.6</v>
      </c>
      <c r="C93" s="16">
        <v>6.6</v>
      </c>
      <c r="D93" s="16">
        <v>0</v>
      </c>
    </row>
    <row r="94" spans="1:7">
      <c r="A94" s="16" t="s">
        <v>37</v>
      </c>
      <c r="B94" s="16" t="s">
        <v>38</v>
      </c>
      <c r="C94" s="16" t="s">
        <v>39</v>
      </c>
      <c r="D94" s="16" t="s">
        <v>40</v>
      </c>
      <c r="E94" s="16" t="s">
        <v>81</v>
      </c>
      <c r="F94" s="16" t="s">
        <v>82</v>
      </c>
      <c r="G94" s="16" t="s">
        <v>83</v>
      </c>
    </row>
    <row r="95" spans="1:7">
      <c r="A95" s="16" t="s">
        <v>312</v>
      </c>
      <c r="B95" s="16" t="s">
        <v>313</v>
      </c>
      <c r="C95" s="16">
        <v>30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314</v>
      </c>
      <c r="B96" s="16" t="s">
        <v>312</v>
      </c>
      <c r="C96" s="16">
        <v>28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315</v>
      </c>
      <c r="B97" s="16" t="s">
        <v>314</v>
      </c>
      <c r="C97" s="16">
        <v>32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316</v>
      </c>
      <c r="B98" s="16" t="s">
        <v>315</v>
      </c>
      <c r="C98" s="16">
        <v>31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317</v>
      </c>
      <c r="B99" s="16" t="s">
        <v>316</v>
      </c>
      <c r="C99" s="16">
        <v>31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318</v>
      </c>
      <c r="B100" s="16" t="s">
        <v>317</v>
      </c>
      <c r="C100" s="16">
        <v>30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319</v>
      </c>
      <c r="B101" s="16" t="s">
        <v>318</v>
      </c>
      <c r="C101" s="16">
        <v>30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320</v>
      </c>
      <c r="B102" s="16" t="s">
        <v>319</v>
      </c>
      <c r="C102" s="16">
        <v>31</v>
      </c>
      <c r="D102" s="16" t="s">
        <v>42</v>
      </c>
      <c r="E102" s="16">
        <v>0</v>
      </c>
      <c r="F102" s="16">
        <v>0</v>
      </c>
      <c r="G102" s="16">
        <v>0</v>
      </c>
    </row>
    <row r="103" spans="1:7">
      <c r="A103" s="16" t="s">
        <v>321</v>
      </c>
      <c r="B103" s="16" t="s">
        <v>320</v>
      </c>
      <c r="C103" s="16">
        <v>31</v>
      </c>
      <c r="D103" s="16" t="s">
        <v>42</v>
      </c>
      <c r="E103" s="16">
        <v>0</v>
      </c>
      <c r="F103" s="16">
        <v>0</v>
      </c>
      <c r="G103" s="16">
        <v>0</v>
      </c>
    </row>
    <row r="104" spans="1:7">
      <c r="A104" s="16" t="s">
        <v>322</v>
      </c>
      <c r="B104" s="16" t="s">
        <v>321</v>
      </c>
      <c r="C104" s="16">
        <v>29</v>
      </c>
      <c r="D104" s="16" t="s">
        <v>42</v>
      </c>
      <c r="E104" s="16">
        <v>0</v>
      </c>
      <c r="F104" s="16">
        <v>0</v>
      </c>
      <c r="G104" s="16">
        <v>0</v>
      </c>
    </row>
    <row r="105" spans="1:7">
      <c r="A105" s="16" t="s">
        <v>323</v>
      </c>
      <c r="B105" s="16" t="s">
        <v>322</v>
      </c>
      <c r="C105" s="16">
        <v>32</v>
      </c>
      <c r="D105" s="16" t="s">
        <v>42</v>
      </c>
      <c r="E105" s="16">
        <v>0</v>
      </c>
      <c r="F105" s="16">
        <v>0</v>
      </c>
      <c r="G105" s="16">
        <v>0</v>
      </c>
    </row>
    <row r="106" spans="1:7">
      <c r="A106" s="16" t="s">
        <v>324</v>
      </c>
      <c r="B106" s="16" t="s">
        <v>323</v>
      </c>
      <c r="C106" s="16">
        <v>31</v>
      </c>
      <c r="D106" s="16" t="s">
        <v>42</v>
      </c>
      <c r="E106" s="16">
        <v>0</v>
      </c>
      <c r="F106" s="16">
        <v>0</v>
      </c>
      <c r="G106" s="16">
        <v>0</v>
      </c>
    </row>
    <row r="107" spans="1:7">
      <c r="A107" s="16" t="s">
        <v>325</v>
      </c>
      <c r="B107" s="16" t="s">
        <v>324</v>
      </c>
      <c r="C107" s="16">
        <v>31</v>
      </c>
      <c r="D107" s="16" t="s">
        <v>42</v>
      </c>
      <c r="E107" s="16">
        <v>0</v>
      </c>
      <c r="F107" s="16">
        <v>0</v>
      </c>
      <c r="G107" s="16">
        <v>0</v>
      </c>
    </row>
    <row r="108" spans="1:7">
      <c r="A108" s="16" t="s">
        <v>326</v>
      </c>
      <c r="B108" s="16" t="s">
        <v>325</v>
      </c>
      <c r="C108" s="16">
        <v>22</v>
      </c>
      <c r="D108" s="16" t="s">
        <v>42</v>
      </c>
      <c r="E108" s="16">
        <v>0</v>
      </c>
      <c r="F108" s="16">
        <v>0</v>
      </c>
      <c r="G108" s="16">
        <v>0</v>
      </c>
    </row>
    <row r="109" spans="1:7">
      <c r="A109" s="16" t="s">
        <v>113</v>
      </c>
      <c r="B109" s="16" t="s">
        <v>326</v>
      </c>
      <c r="C109" s="16">
        <v>27</v>
      </c>
      <c r="D109" s="16" t="s">
        <v>42</v>
      </c>
      <c r="E109" s="16">
        <v>0</v>
      </c>
      <c r="F109" s="16">
        <v>0</v>
      </c>
      <c r="G109" s="16">
        <v>0</v>
      </c>
    </row>
    <row r="110" spans="1:7">
      <c r="A110" s="16" t="s">
        <v>327</v>
      </c>
      <c r="B110" s="16" t="s">
        <v>113</v>
      </c>
      <c r="C110" s="16">
        <v>9</v>
      </c>
      <c r="D110" s="16" t="s">
        <v>42</v>
      </c>
      <c r="E110" s="16">
        <v>0</v>
      </c>
      <c r="F110" s="16">
        <v>0</v>
      </c>
      <c r="G110" s="16">
        <v>0</v>
      </c>
    </row>
    <row r="111" spans="1:7">
      <c r="A111" s="16" t="s">
        <v>59</v>
      </c>
      <c r="B111" s="16" t="s">
        <v>328</v>
      </c>
      <c r="C111" s="16">
        <v>5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329</v>
      </c>
      <c r="B112" s="16" t="s">
        <v>59</v>
      </c>
      <c r="C112" s="16">
        <v>28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56</v>
      </c>
      <c r="B113" s="16" t="s">
        <v>329</v>
      </c>
      <c r="C113" s="16">
        <v>31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330</v>
      </c>
      <c r="B114" s="16" t="s">
        <v>56</v>
      </c>
      <c r="C114" s="16">
        <v>29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331</v>
      </c>
      <c r="B115" s="16" t="s">
        <v>330</v>
      </c>
      <c r="C115" s="16">
        <v>33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332</v>
      </c>
      <c r="B116" s="16" t="s">
        <v>331</v>
      </c>
      <c r="C116" s="16">
        <v>30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51</v>
      </c>
      <c r="B117" s="16" t="s">
        <v>332</v>
      </c>
      <c r="C117" s="16">
        <v>34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333</v>
      </c>
      <c r="B118" s="16" t="s">
        <v>51</v>
      </c>
      <c r="C118" s="16">
        <v>27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334</v>
      </c>
      <c r="B119" s="16" t="s">
        <v>333</v>
      </c>
      <c r="C119" s="16">
        <v>31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335</v>
      </c>
      <c r="B120" s="16" t="s">
        <v>334</v>
      </c>
      <c r="C120" s="16">
        <v>30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336</v>
      </c>
      <c r="B121" s="16" t="s">
        <v>335</v>
      </c>
      <c r="C121" s="16">
        <v>28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262</v>
      </c>
      <c r="B122" s="16" t="s">
        <v>336</v>
      </c>
      <c r="C122" s="16">
        <v>31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284</v>
      </c>
      <c r="B123" s="16" t="s">
        <v>262</v>
      </c>
      <c r="C123" s="16">
        <v>32</v>
      </c>
      <c r="D123" s="16" t="s">
        <v>42</v>
      </c>
      <c r="E123" s="16">
        <v>0</v>
      </c>
      <c r="F123" s="16">
        <v>0</v>
      </c>
      <c r="G123" s="16">
        <v>0</v>
      </c>
    </row>
    <row r="124" spans="1:7">
      <c r="A124" s="16" t="s">
        <v>337</v>
      </c>
      <c r="B124" s="16" t="s">
        <v>284</v>
      </c>
      <c r="C124" s="16">
        <v>29</v>
      </c>
      <c r="D124" s="16" t="s">
        <v>42</v>
      </c>
      <c r="E124" s="16">
        <v>0</v>
      </c>
      <c r="F124" s="16">
        <v>0</v>
      </c>
      <c r="G124" s="16">
        <v>0</v>
      </c>
    </row>
    <row r="125" spans="1:7">
      <c r="A125" s="16" t="s">
        <v>338</v>
      </c>
      <c r="B125" s="16" t="s">
        <v>337</v>
      </c>
      <c r="C125" s="16">
        <v>32</v>
      </c>
      <c r="D125" s="16" t="s">
        <v>42</v>
      </c>
      <c r="E125" s="16">
        <v>0</v>
      </c>
      <c r="F125" s="16">
        <v>0</v>
      </c>
      <c r="G125" s="16">
        <v>0</v>
      </c>
    </row>
    <row r="126" spans="1:7">
      <c r="A126" s="16" t="s">
        <v>339</v>
      </c>
      <c r="B126" s="16" t="s">
        <v>338</v>
      </c>
      <c r="C126" s="16">
        <v>30</v>
      </c>
      <c r="D126" s="16" t="s">
        <v>42</v>
      </c>
      <c r="E126" s="16">
        <v>0</v>
      </c>
      <c r="F126" s="16">
        <v>0</v>
      </c>
      <c r="G126" s="16">
        <v>0</v>
      </c>
    </row>
    <row r="127" spans="1:7">
      <c r="A127" s="16" t="s">
        <v>340</v>
      </c>
      <c r="B127" s="16" t="s">
        <v>339</v>
      </c>
      <c r="C127" s="16">
        <v>30</v>
      </c>
      <c r="D127" s="16" t="s">
        <v>42</v>
      </c>
      <c r="E127" s="16">
        <v>0</v>
      </c>
      <c r="F127" s="16">
        <v>0</v>
      </c>
      <c r="G127" s="16">
        <v>0</v>
      </c>
    </row>
    <row r="128" spans="1:7">
      <c r="A128" s="16" t="s">
        <v>341</v>
      </c>
      <c r="B128" s="16" t="s">
        <v>340</v>
      </c>
      <c r="C128" s="16">
        <v>30</v>
      </c>
      <c r="D128" s="16" t="s">
        <v>42</v>
      </c>
      <c r="E128" s="16">
        <v>0</v>
      </c>
      <c r="F128" s="16">
        <v>0</v>
      </c>
      <c r="G128" s="16">
        <v>0</v>
      </c>
    </row>
    <row r="129" spans="1:7">
      <c r="A129" s="16" t="s">
        <v>342</v>
      </c>
      <c r="B129" s="16" t="s">
        <v>341</v>
      </c>
      <c r="C129" s="16">
        <v>31</v>
      </c>
      <c r="D129" s="16" t="s">
        <v>42</v>
      </c>
      <c r="E129" s="16">
        <v>0</v>
      </c>
      <c r="F129" s="16">
        <v>0</v>
      </c>
      <c r="G129" s="16">
        <v>0</v>
      </c>
    </row>
    <row r="130" spans="1:7">
      <c r="A130" s="16" t="s">
        <v>343</v>
      </c>
      <c r="B130" s="16" t="s">
        <v>342</v>
      </c>
      <c r="C130" s="16">
        <v>31</v>
      </c>
      <c r="D130" s="16" t="s">
        <v>42</v>
      </c>
      <c r="E130" s="16">
        <v>0</v>
      </c>
      <c r="F130" s="16">
        <v>0</v>
      </c>
      <c r="G130" s="16">
        <v>0</v>
      </c>
    </row>
    <row r="131" spans="1:7">
      <c r="A131" s="16" t="s">
        <v>344</v>
      </c>
      <c r="B131" s="16" t="s">
        <v>343</v>
      </c>
      <c r="C131" s="16">
        <v>29</v>
      </c>
      <c r="D131" s="16" t="s">
        <v>42</v>
      </c>
      <c r="E131" s="16">
        <v>0</v>
      </c>
      <c r="F131" s="16">
        <v>0</v>
      </c>
      <c r="G131" s="16">
        <v>0</v>
      </c>
    </row>
    <row r="132" spans="1:7">
      <c r="A132" s="16" t="s">
        <v>345</v>
      </c>
      <c r="B132" s="16" t="s">
        <v>344</v>
      </c>
      <c r="C132" s="16">
        <v>32</v>
      </c>
      <c r="D132" s="16" t="s">
        <v>42</v>
      </c>
      <c r="E132" s="16">
        <v>0</v>
      </c>
      <c r="F132" s="16">
        <v>0</v>
      </c>
      <c r="G132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1543-45B1-4115-8698-8A761ECA45D1}">
  <dimension ref="A1:I135"/>
  <sheetViews>
    <sheetView topLeftCell="A22" workbookViewId="0">
      <selection activeCell="M39" sqref="M39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9">
      <c r="A1" s="16" t="s">
        <v>30</v>
      </c>
    </row>
    <row r="3" spans="1:9">
      <c r="A3" s="16" t="s">
        <v>346</v>
      </c>
      <c r="B3" s="16" t="s">
        <v>32</v>
      </c>
      <c r="C3" s="16" t="s">
        <v>33</v>
      </c>
      <c r="D3" s="16" t="s">
        <v>34</v>
      </c>
    </row>
    <row r="4" spans="1:9">
      <c r="A4" s="16" t="s">
        <v>35</v>
      </c>
      <c r="B4" s="16">
        <v>3108</v>
      </c>
      <c r="C4" s="16">
        <v>2745</v>
      </c>
      <c r="D4" s="16">
        <v>2666</v>
      </c>
    </row>
    <row r="5" spans="1:9">
      <c r="A5" s="16" t="s">
        <v>36</v>
      </c>
      <c r="B5" s="16">
        <v>36</v>
      </c>
      <c r="C5" s="16">
        <v>32</v>
      </c>
      <c r="D5" s="16">
        <v>31</v>
      </c>
    </row>
    <row r="6" spans="1:9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275</v>
      </c>
      <c r="I6" s="16" t="s">
        <v>365</v>
      </c>
    </row>
    <row r="7" spans="1:9">
      <c r="A7" s="17">
        <v>43890</v>
      </c>
      <c r="B7" s="16" t="s">
        <v>349</v>
      </c>
      <c r="C7" s="16">
        <v>31</v>
      </c>
      <c r="D7" s="16" t="s">
        <v>42</v>
      </c>
      <c r="E7" s="16">
        <v>710</v>
      </c>
      <c r="F7" s="16">
        <v>0</v>
      </c>
      <c r="G7" s="16">
        <v>0</v>
      </c>
      <c r="H7" s="16">
        <f>Tabla25[[#This Row],[P1 + P4]]+Tabla25[[#This Row],[P2 + P5]]</f>
        <v>710</v>
      </c>
      <c r="I7" s="16">
        <f>Tabla25[[#This Row],[P3 + P6]]</f>
        <v>0</v>
      </c>
    </row>
    <row r="8" spans="1:9">
      <c r="A8" s="17">
        <v>43921</v>
      </c>
      <c r="B8" s="16" t="s">
        <v>139</v>
      </c>
      <c r="C8" s="16">
        <v>30</v>
      </c>
      <c r="D8" s="16" t="s">
        <v>42</v>
      </c>
      <c r="E8" s="16">
        <v>370</v>
      </c>
      <c r="F8" s="16">
        <v>0</v>
      </c>
      <c r="G8" s="16">
        <v>0</v>
      </c>
      <c r="H8" s="16">
        <f>Tabla25[[#This Row],[P1 + P4]]+Tabla25[[#This Row],[P2 + P5]]</f>
        <v>370</v>
      </c>
      <c r="I8" s="16">
        <f>Tabla25[[#This Row],[P3 + P6]]</f>
        <v>0</v>
      </c>
    </row>
    <row r="9" spans="1:9">
      <c r="A9" s="17">
        <v>43951</v>
      </c>
      <c r="B9" s="16" t="s">
        <v>91</v>
      </c>
      <c r="C9" s="16">
        <v>31</v>
      </c>
      <c r="D9" s="16" t="s">
        <v>42</v>
      </c>
      <c r="E9" s="16">
        <v>243</v>
      </c>
      <c r="F9" s="16">
        <v>0</v>
      </c>
      <c r="G9" s="16">
        <v>0</v>
      </c>
      <c r="H9" s="16">
        <f>Tabla25[[#This Row],[P1 + P4]]+Tabla25[[#This Row],[P2 + P5]]</f>
        <v>243</v>
      </c>
      <c r="I9" s="16">
        <f>Tabla25[[#This Row],[P3 + P6]]</f>
        <v>0</v>
      </c>
    </row>
    <row r="10" spans="1:9">
      <c r="A10" s="17">
        <v>43982</v>
      </c>
      <c r="B10" s="16" t="s">
        <v>89</v>
      </c>
      <c r="C10" s="16">
        <v>30</v>
      </c>
      <c r="D10" s="16" t="s">
        <v>42</v>
      </c>
      <c r="E10" s="16">
        <v>299</v>
      </c>
      <c r="F10" s="16">
        <v>0</v>
      </c>
      <c r="G10" s="16">
        <v>0</v>
      </c>
      <c r="H10" s="16">
        <f>Tabla25[[#This Row],[P1 + P4]]+Tabla25[[#This Row],[P2 + P5]]</f>
        <v>299</v>
      </c>
      <c r="I10" s="16">
        <f>Tabla25[[#This Row],[P3 + P6]]</f>
        <v>0</v>
      </c>
    </row>
    <row r="11" spans="1:9">
      <c r="A11" s="17">
        <v>44012</v>
      </c>
      <c r="B11" s="16" t="s">
        <v>88</v>
      </c>
      <c r="C11" s="16">
        <v>31</v>
      </c>
      <c r="D11" s="16" t="s">
        <v>42</v>
      </c>
      <c r="E11" s="16">
        <v>374</v>
      </c>
      <c r="F11" s="16">
        <v>0</v>
      </c>
      <c r="G11" s="16">
        <v>0</v>
      </c>
      <c r="H11" s="16">
        <f>Tabla25[[#This Row],[P1 + P4]]+Tabla25[[#This Row],[P2 + P5]]</f>
        <v>374</v>
      </c>
      <c r="I11" s="16">
        <f>Tabla25[[#This Row],[P3 + P6]]</f>
        <v>0</v>
      </c>
    </row>
    <row r="12" spans="1:9">
      <c r="A12" s="17">
        <v>44043</v>
      </c>
      <c r="B12" s="16" t="s">
        <v>78</v>
      </c>
      <c r="C12" s="16">
        <v>31</v>
      </c>
      <c r="D12" s="16" t="s">
        <v>42</v>
      </c>
      <c r="E12" s="16">
        <v>359</v>
      </c>
      <c r="F12" s="16">
        <v>0</v>
      </c>
      <c r="G12" s="16">
        <v>0</v>
      </c>
      <c r="H12" s="16">
        <f>Tabla25[[#This Row],[P1 + P4]]+Tabla25[[#This Row],[P2 + P5]]</f>
        <v>359</v>
      </c>
      <c r="I12" s="16">
        <f>Tabla25[[#This Row],[P3 + P6]]</f>
        <v>0</v>
      </c>
    </row>
    <row r="13" spans="1:9">
      <c r="A13" s="17">
        <v>44074</v>
      </c>
      <c r="B13" s="16" t="s">
        <v>41</v>
      </c>
      <c r="C13" s="16">
        <v>30</v>
      </c>
      <c r="D13" s="16" t="s">
        <v>42</v>
      </c>
      <c r="E13" s="16">
        <v>364</v>
      </c>
      <c r="F13" s="16">
        <v>0</v>
      </c>
      <c r="G13" s="16">
        <v>0</v>
      </c>
      <c r="H13" s="16">
        <f>Tabla25[[#This Row],[P1 + P4]]+Tabla25[[#This Row],[P2 + P5]]</f>
        <v>364</v>
      </c>
      <c r="I13" s="16">
        <f>Tabla25[[#This Row],[P3 + P6]]</f>
        <v>0</v>
      </c>
    </row>
    <row r="14" spans="1:9">
      <c r="A14" s="17">
        <v>44104</v>
      </c>
      <c r="B14" s="16" t="s">
        <v>43</v>
      </c>
      <c r="C14" s="16">
        <v>31</v>
      </c>
      <c r="D14" s="16" t="s">
        <v>42</v>
      </c>
      <c r="E14" s="16">
        <v>554</v>
      </c>
      <c r="F14" s="16">
        <v>0</v>
      </c>
      <c r="G14" s="16">
        <v>0</v>
      </c>
      <c r="H14" s="16">
        <f>Tabla25[[#This Row],[P1 + P4]]+Tabla25[[#This Row],[P2 + P5]]</f>
        <v>554</v>
      </c>
      <c r="I14" s="16">
        <f>Tabla25[[#This Row],[P3 + P6]]</f>
        <v>0</v>
      </c>
    </row>
    <row r="15" spans="1:9">
      <c r="A15" s="17">
        <v>44135</v>
      </c>
      <c r="B15" s="16" t="s">
        <v>44</v>
      </c>
      <c r="C15" s="16">
        <v>30</v>
      </c>
      <c r="D15" s="16" t="s">
        <v>42</v>
      </c>
      <c r="E15" s="16">
        <v>760</v>
      </c>
      <c r="F15" s="16">
        <v>0</v>
      </c>
      <c r="G15" s="16">
        <v>0</v>
      </c>
      <c r="H15" s="16">
        <f>Tabla25[[#This Row],[P1 + P4]]+Tabla25[[#This Row],[P2 + P5]]</f>
        <v>760</v>
      </c>
      <c r="I15" s="16">
        <f>Tabla25[[#This Row],[P3 + P6]]</f>
        <v>0</v>
      </c>
    </row>
    <row r="16" spans="1:9">
      <c r="A16" s="17">
        <v>44165</v>
      </c>
      <c r="B16" s="16" t="s">
        <v>45</v>
      </c>
      <c r="C16" s="16">
        <v>31</v>
      </c>
      <c r="D16" s="16" t="s">
        <v>42</v>
      </c>
      <c r="E16" s="16">
        <v>872</v>
      </c>
      <c r="F16" s="16">
        <v>0</v>
      </c>
      <c r="G16" s="16">
        <v>0</v>
      </c>
      <c r="H16" s="16">
        <f>Tabla25[[#This Row],[P1 + P4]]+Tabla25[[#This Row],[P2 + P5]]</f>
        <v>872</v>
      </c>
      <c r="I16" s="16">
        <f>Tabla25[[#This Row],[P3 + P6]]</f>
        <v>0</v>
      </c>
    </row>
    <row r="17" spans="1:9">
      <c r="A17" s="17">
        <v>44196</v>
      </c>
      <c r="B17" s="16" t="s">
        <v>46</v>
      </c>
      <c r="C17" s="16">
        <v>31</v>
      </c>
      <c r="D17" s="16" t="s">
        <v>42</v>
      </c>
      <c r="E17" s="16">
        <v>953</v>
      </c>
      <c r="F17" s="16">
        <v>0</v>
      </c>
      <c r="G17" s="16">
        <v>0</v>
      </c>
      <c r="H17" s="16">
        <f>Tabla25[[#This Row],[P1 + P4]]+Tabla25[[#This Row],[P2 + P5]]</f>
        <v>953</v>
      </c>
      <c r="I17" s="16">
        <f>Tabla25[[#This Row],[P3 + P6]]</f>
        <v>0</v>
      </c>
    </row>
    <row r="18" spans="1:9">
      <c r="A18" s="17">
        <v>44227</v>
      </c>
      <c r="B18" s="16" t="s">
        <v>47</v>
      </c>
      <c r="C18" s="16">
        <v>28</v>
      </c>
      <c r="D18" s="16" t="s">
        <v>42</v>
      </c>
      <c r="E18" s="16">
        <v>818</v>
      </c>
      <c r="F18" s="16">
        <v>0</v>
      </c>
      <c r="G18" s="16">
        <v>0</v>
      </c>
      <c r="H18" s="16">
        <f>Tabla25[[#This Row],[P1 + P4]]+Tabla25[[#This Row],[P2 + P5]]</f>
        <v>818</v>
      </c>
      <c r="I18" s="16">
        <f>Tabla25[[#This Row],[P3 + P6]]</f>
        <v>0</v>
      </c>
    </row>
    <row r="19" spans="1:9">
      <c r="A19" s="17">
        <v>44255</v>
      </c>
      <c r="B19" s="16" t="s">
        <v>48</v>
      </c>
      <c r="C19" s="16">
        <v>31</v>
      </c>
      <c r="D19" s="16" t="s">
        <v>42</v>
      </c>
      <c r="E19" s="16">
        <v>906</v>
      </c>
      <c r="F19" s="16">
        <v>0</v>
      </c>
      <c r="G19" s="16">
        <v>0</v>
      </c>
      <c r="H19" s="16">
        <f>Tabla25[[#This Row],[P1 + P4]]+Tabla25[[#This Row],[P2 + P5]]</f>
        <v>906</v>
      </c>
      <c r="I19" s="16">
        <f>Tabla25[[#This Row],[P3 + P6]]</f>
        <v>0</v>
      </c>
    </row>
    <row r="20" spans="1:9">
      <c r="A20" s="17">
        <v>44286</v>
      </c>
      <c r="B20" s="16" t="s">
        <v>50</v>
      </c>
      <c r="C20" s="16">
        <v>30</v>
      </c>
      <c r="D20" s="16" t="s">
        <v>42</v>
      </c>
      <c r="E20" s="16">
        <v>836</v>
      </c>
      <c r="F20" s="16">
        <v>0</v>
      </c>
      <c r="G20" s="16">
        <v>0</v>
      </c>
      <c r="H20" s="16">
        <f>Tabla25[[#This Row],[P1 + P4]]+Tabla25[[#This Row],[P2 + P5]]</f>
        <v>836</v>
      </c>
      <c r="I20" s="16">
        <f>Tabla25[[#This Row],[P3 + P6]]</f>
        <v>0</v>
      </c>
    </row>
    <row r="21" spans="1:9">
      <c r="A21" s="17">
        <v>44316</v>
      </c>
      <c r="B21" s="16" t="s">
        <v>51</v>
      </c>
      <c r="C21" s="16">
        <v>31</v>
      </c>
      <c r="D21" s="16" t="s">
        <v>42</v>
      </c>
      <c r="E21" s="16">
        <v>770</v>
      </c>
      <c r="F21" s="16">
        <v>0</v>
      </c>
      <c r="G21" s="16">
        <v>0</v>
      </c>
      <c r="H21" s="16">
        <f>Tabla25[[#This Row],[P1 + P4]]+Tabla25[[#This Row],[P2 + P5]]</f>
        <v>770</v>
      </c>
      <c r="I21" s="16">
        <f>Tabla25[[#This Row],[P3 + P6]]</f>
        <v>0</v>
      </c>
    </row>
    <row r="22" spans="1:9">
      <c r="A22" s="17">
        <v>44347</v>
      </c>
      <c r="B22" s="16" t="s">
        <v>52</v>
      </c>
      <c r="C22" s="16">
        <v>30</v>
      </c>
      <c r="D22" s="16" t="s">
        <v>42</v>
      </c>
      <c r="E22" s="16">
        <v>171</v>
      </c>
      <c r="F22" s="16">
        <v>146</v>
      </c>
      <c r="G22" s="16">
        <v>140</v>
      </c>
      <c r="H22" s="16">
        <f>Tabla25[[#This Row],[P1 + P4]]+Tabla25[[#This Row],[P2 + P5]]</f>
        <v>317</v>
      </c>
      <c r="I22" s="16">
        <f>Tabla25[[#This Row],[P3 + P6]]</f>
        <v>140</v>
      </c>
    </row>
    <row r="23" spans="1:9">
      <c r="A23" s="17">
        <v>44377</v>
      </c>
      <c r="B23" s="16" t="s">
        <v>53</v>
      </c>
      <c r="C23" s="16">
        <v>31</v>
      </c>
      <c r="D23" s="16" t="s">
        <v>42</v>
      </c>
      <c r="E23" s="16">
        <v>164</v>
      </c>
      <c r="F23" s="16">
        <v>127</v>
      </c>
      <c r="G23" s="16">
        <v>154</v>
      </c>
      <c r="H23" s="16">
        <f>Tabla25[[#This Row],[P1 + P4]]+Tabla25[[#This Row],[P2 + P5]]</f>
        <v>291</v>
      </c>
      <c r="I23" s="16">
        <f>Tabla25[[#This Row],[P3 + P6]]</f>
        <v>154</v>
      </c>
    </row>
    <row r="24" spans="1:9">
      <c r="A24" s="17">
        <v>44408</v>
      </c>
      <c r="B24" s="16" t="s">
        <v>54</v>
      </c>
      <c r="C24" s="16">
        <v>31</v>
      </c>
      <c r="D24" s="16" t="s">
        <v>42</v>
      </c>
      <c r="E24" s="16">
        <v>150</v>
      </c>
      <c r="F24" s="16">
        <v>112</v>
      </c>
      <c r="G24" s="16">
        <v>145</v>
      </c>
      <c r="H24" s="16">
        <f>Tabla25[[#This Row],[P1 + P4]]+Tabla25[[#This Row],[P2 + P5]]</f>
        <v>262</v>
      </c>
      <c r="I24" s="16">
        <f>Tabla25[[#This Row],[P3 + P6]]</f>
        <v>145</v>
      </c>
    </row>
    <row r="25" spans="1:9">
      <c r="A25" s="17">
        <v>44439</v>
      </c>
      <c r="B25" s="16" t="s">
        <v>55</v>
      </c>
      <c r="C25" s="16">
        <v>30</v>
      </c>
      <c r="D25" s="16" t="s">
        <v>42</v>
      </c>
      <c r="E25" s="16">
        <v>161</v>
      </c>
      <c r="F25" s="16">
        <v>150</v>
      </c>
      <c r="G25" s="16">
        <v>137</v>
      </c>
      <c r="H25" s="16">
        <f>Tabla25[[#This Row],[P1 + P4]]+Tabla25[[#This Row],[P2 + P5]]</f>
        <v>311</v>
      </c>
      <c r="I25" s="16">
        <f>Tabla25[[#This Row],[P3 + P6]]</f>
        <v>137</v>
      </c>
    </row>
    <row r="26" spans="1:9">
      <c r="A26" s="17">
        <v>44469</v>
      </c>
      <c r="B26" s="16" t="s">
        <v>57</v>
      </c>
      <c r="C26" s="16">
        <v>31</v>
      </c>
      <c r="D26" s="16" t="s">
        <v>42</v>
      </c>
      <c r="E26" s="16">
        <v>168</v>
      </c>
      <c r="F26" s="16">
        <v>146</v>
      </c>
      <c r="G26" s="16">
        <v>157</v>
      </c>
      <c r="H26" s="16">
        <f>Tabla25[[#This Row],[P1 + P4]]+Tabla25[[#This Row],[P2 + P5]]</f>
        <v>314</v>
      </c>
      <c r="I26" s="16">
        <f>Tabla25[[#This Row],[P3 + P6]]</f>
        <v>157</v>
      </c>
    </row>
    <row r="27" spans="1:9">
      <c r="A27" s="17">
        <v>44500</v>
      </c>
      <c r="B27" s="16" t="s">
        <v>58</v>
      </c>
      <c r="C27" s="16">
        <v>30</v>
      </c>
      <c r="D27" s="16" t="s">
        <v>42</v>
      </c>
      <c r="E27" s="16">
        <v>309</v>
      </c>
      <c r="F27" s="16">
        <v>291</v>
      </c>
      <c r="G27" s="16">
        <v>149</v>
      </c>
      <c r="H27" s="16">
        <f>Tabla25[[#This Row],[P1 + P4]]+Tabla25[[#This Row],[P2 + P5]]</f>
        <v>600</v>
      </c>
      <c r="I27" s="16">
        <f>Tabla25[[#This Row],[P3 + P6]]</f>
        <v>149</v>
      </c>
    </row>
    <row r="28" spans="1:9">
      <c r="A28" s="17">
        <v>44530</v>
      </c>
      <c r="B28" s="16" t="s">
        <v>328</v>
      </c>
      <c r="C28" s="16">
        <v>7</v>
      </c>
      <c r="D28" s="16" t="s">
        <v>42</v>
      </c>
      <c r="E28" s="16">
        <v>44</v>
      </c>
      <c r="F28" s="16">
        <v>37</v>
      </c>
      <c r="G28" s="16">
        <v>33</v>
      </c>
      <c r="H28" s="16">
        <f>Tabla25[[#This Row],[P1 + P4]]+Tabla25[[#This Row],[P2 + P5]]</f>
        <v>81</v>
      </c>
      <c r="I28" s="16">
        <f>Tabla25[[#This Row],[P3 + P6]]</f>
        <v>33</v>
      </c>
    </row>
    <row r="29" spans="1:9">
      <c r="A29" s="17">
        <v>44537</v>
      </c>
      <c r="B29" s="16" t="s">
        <v>60</v>
      </c>
      <c r="C29" s="16">
        <v>24</v>
      </c>
      <c r="D29" s="16" t="s">
        <v>42</v>
      </c>
      <c r="E29" s="16">
        <v>259</v>
      </c>
      <c r="F29" s="16">
        <v>246</v>
      </c>
      <c r="G29" s="16">
        <v>115</v>
      </c>
      <c r="H29" s="16">
        <f>Tabla25[[#This Row],[P1 + P4]]+Tabla25[[#This Row],[P2 + P5]]</f>
        <v>505</v>
      </c>
      <c r="I29" s="16">
        <f>Tabla25[[#This Row],[P3 + P6]]</f>
        <v>115</v>
      </c>
    </row>
    <row r="30" spans="1:9">
      <c r="A30" s="17">
        <v>44561</v>
      </c>
      <c r="B30" s="16" t="s">
        <v>113</v>
      </c>
      <c r="C30" s="16">
        <v>13</v>
      </c>
      <c r="D30" s="16" t="s">
        <v>42</v>
      </c>
      <c r="E30" s="16">
        <v>108</v>
      </c>
      <c r="F30" s="16">
        <v>89</v>
      </c>
      <c r="G30" s="16">
        <v>67</v>
      </c>
      <c r="H30" s="16">
        <f>Tabla25[[#This Row],[P1 + P4]]+Tabla25[[#This Row],[P2 + P5]]</f>
        <v>197</v>
      </c>
      <c r="I30" s="16">
        <f>Tabla25[[#This Row],[P3 + P6]]</f>
        <v>67</v>
      </c>
    </row>
    <row r="31" spans="1:9">
      <c r="A31" s="17">
        <v>44574</v>
      </c>
      <c r="B31" s="16" t="s">
        <v>348</v>
      </c>
      <c r="C31" s="16">
        <v>32</v>
      </c>
      <c r="D31" s="16" t="s">
        <v>42</v>
      </c>
      <c r="E31" s="16">
        <v>457</v>
      </c>
      <c r="F31" s="16">
        <v>393</v>
      </c>
      <c r="G31" s="16">
        <v>154</v>
      </c>
      <c r="H31" s="16">
        <f>Tabla25[[#This Row],[P1 + P4]]+Tabla25[[#This Row],[P2 + P5]]</f>
        <v>850</v>
      </c>
      <c r="I31" s="16">
        <f>Tabla25[[#This Row],[P3 + P6]]</f>
        <v>154</v>
      </c>
    </row>
    <row r="32" spans="1:9">
      <c r="A32" s="17">
        <v>44606</v>
      </c>
      <c r="B32" s="16" t="s">
        <v>62</v>
      </c>
      <c r="C32" s="16">
        <v>14</v>
      </c>
      <c r="D32" s="16" t="s">
        <v>42</v>
      </c>
      <c r="E32" s="16">
        <v>158</v>
      </c>
      <c r="F32" s="16">
        <v>149</v>
      </c>
      <c r="G32" s="16">
        <v>65</v>
      </c>
      <c r="H32" s="16">
        <f>Tabla25[[#This Row],[P1 + P4]]+Tabla25[[#This Row],[P2 + P5]]</f>
        <v>307</v>
      </c>
      <c r="I32" s="16">
        <f>Tabla25[[#This Row],[P3 + P6]]</f>
        <v>65</v>
      </c>
    </row>
    <row r="33" spans="1:9">
      <c r="A33" s="17">
        <v>44620</v>
      </c>
      <c r="B33" s="16" t="s">
        <v>63</v>
      </c>
      <c r="C33" s="16">
        <v>31</v>
      </c>
      <c r="D33" s="16" t="s">
        <v>42</v>
      </c>
      <c r="E33" s="16">
        <v>362</v>
      </c>
      <c r="F33" s="16">
        <v>343</v>
      </c>
      <c r="G33" s="16">
        <v>141</v>
      </c>
      <c r="H33" s="16">
        <f>Tabla25[[#This Row],[P1 + P4]]+Tabla25[[#This Row],[P2 + P5]]</f>
        <v>705</v>
      </c>
      <c r="I33" s="16">
        <f>Tabla25[[#This Row],[P3 + P6]]</f>
        <v>141</v>
      </c>
    </row>
    <row r="34" spans="1:9">
      <c r="A34" s="17">
        <v>44651</v>
      </c>
      <c r="B34" s="16" t="s">
        <v>65</v>
      </c>
      <c r="C34" s="16">
        <v>30</v>
      </c>
      <c r="D34" s="16" t="s">
        <v>42</v>
      </c>
      <c r="E34" s="16">
        <v>287</v>
      </c>
      <c r="F34" s="16">
        <v>281</v>
      </c>
      <c r="G34" s="16">
        <v>142</v>
      </c>
      <c r="H34" s="16">
        <f>Tabla25[[#This Row],[P1 + P4]]+Tabla25[[#This Row],[P2 + P5]]</f>
        <v>568</v>
      </c>
      <c r="I34" s="16">
        <f>Tabla25[[#This Row],[P3 + P6]]</f>
        <v>142</v>
      </c>
    </row>
    <row r="35" spans="1:9">
      <c r="A35" s="17">
        <v>44681</v>
      </c>
      <c r="B35" s="16" t="s">
        <v>66</v>
      </c>
      <c r="C35" s="16">
        <v>31</v>
      </c>
      <c r="D35" s="16" t="s">
        <v>42</v>
      </c>
      <c r="E35" s="16">
        <v>262</v>
      </c>
      <c r="F35" s="16">
        <v>241</v>
      </c>
      <c r="G35" s="16">
        <v>141</v>
      </c>
      <c r="H35" s="16">
        <f>Tabla25[[#This Row],[P1 + P4]]+Tabla25[[#This Row],[P2 + P5]]</f>
        <v>503</v>
      </c>
      <c r="I35" s="16">
        <f>Tabla25[[#This Row],[P3 + P6]]</f>
        <v>141</v>
      </c>
    </row>
    <row r="36" spans="1:9">
      <c r="A36" s="17">
        <v>44712</v>
      </c>
      <c r="B36" s="16" t="s">
        <v>67</v>
      </c>
      <c r="C36" s="16">
        <v>30</v>
      </c>
      <c r="D36" s="16" t="s">
        <v>42</v>
      </c>
      <c r="E36" s="16">
        <v>168</v>
      </c>
      <c r="F36" s="16">
        <v>138</v>
      </c>
      <c r="G36" s="16">
        <v>125</v>
      </c>
      <c r="H36" s="16">
        <f>Tabla25[[#This Row],[P1 + P4]]+Tabla25[[#This Row],[P2 + P5]]</f>
        <v>306</v>
      </c>
      <c r="I36" s="16">
        <f>Tabla25[[#This Row],[P3 + P6]]</f>
        <v>125</v>
      </c>
    </row>
    <row r="37" spans="1:9">
      <c r="A37" s="17">
        <v>44742</v>
      </c>
      <c r="B37" s="16" t="s">
        <v>347</v>
      </c>
      <c r="C37" s="16">
        <v>33</v>
      </c>
      <c r="D37" s="16" t="s">
        <v>42</v>
      </c>
      <c r="E37" s="16">
        <v>163</v>
      </c>
      <c r="F37" s="16">
        <v>128</v>
      </c>
      <c r="G37" s="16">
        <v>145</v>
      </c>
      <c r="H37" s="16">
        <f>Tabla25[[#This Row],[P1 + P4]]+Tabla25[[#This Row],[P2 + P5]]</f>
        <v>291</v>
      </c>
      <c r="I37" s="16">
        <f>Tabla25[[#This Row],[P3 + P6]]</f>
        <v>145</v>
      </c>
    </row>
    <row r="38" spans="1:9">
      <c r="A38" s="17">
        <v>44775</v>
      </c>
      <c r="B38" s="16" t="s">
        <v>69</v>
      </c>
      <c r="C38" s="16">
        <v>29</v>
      </c>
      <c r="D38" s="16" t="s">
        <v>42</v>
      </c>
      <c r="E38" s="16">
        <v>126</v>
      </c>
      <c r="F38" s="16">
        <v>109</v>
      </c>
      <c r="G38" s="16">
        <v>119</v>
      </c>
      <c r="H38" s="16">
        <f>Tabla25[[#This Row],[P1 + P4]]+Tabla25[[#This Row],[P2 + P5]]</f>
        <v>235</v>
      </c>
      <c r="I38" s="16">
        <f>Tabla25[[#This Row],[P3 + P6]]</f>
        <v>119</v>
      </c>
    </row>
    <row r="39" spans="1:9">
      <c r="A39" s="17">
        <v>44804</v>
      </c>
      <c r="B39" s="16" t="s">
        <v>70</v>
      </c>
      <c r="C39" s="16">
        <v>30</v>
      </c>
      <c r="D39" s="16" t="s">
        <v>42</v>
      </c>
      <c r="E39" s="16">
        <v>156</v>
      </c>
      <c r="F39" s="16">
        <v>128</v>
      </c>
      <c r="G39" s="16">
        <v>117</v>
      </c>
      <c r="H39" s="16">
        <f>Tabla25[[#This Row],[P1 + P4]]+Tabla25[[#This Row],[P2 + P5]]</f>
        <v>284</v>
      </c>
      <c r="I39" s="16">
        <f>Tabla25[[#This Row],[P3 + P6]]</f>
        <v>117</v>
      </c>
    </row>
    <row r="40" spans="1:9">
      <c r="A40" s="17">
        <v>44834</v>
      </c>
      <c r="B40" s="16" t="s">
        <v>71</v>
      </c>
      <c r="C40" s="16">
        <v>31</v>
      </c>
      <c r="D40" s="16" t="s">
        <v>42</v>
      </c>
      <c r="E40" s="16">
        <v>149</v>
      </c>
      <c r="F40" s="16">
        <v>114</v>
      </c>
      <c r="G40" s="16">
        <v>138</v>
      </c>
      <c r="H40" s="16">
        <f>Tabla25[[#This Row],[P1 + P4]]+Tabla25[[#This Row],[P2 + P5]]</f>
        <v>263</v>
      </c>
      <c r="I40" s="16">
        <f>Tabla25[[#This Row],[P3 + P6]]</f>
        <v>138</v>
      </c>
    </row>
    <row r="41" spans="1:9">
      <c r="A41" s="17">
        <v>44865</v>
      </c>
      <c r="B41" s="16" t="s">
        <v>72</v>
      </c>
      <c r="C41" s="16">
        <v>30</v>
      </c>
      <c r="D41" s="16" t="s">
        <v>42</v>
      </c>
      <c r="E41" s="16">
        <v>336</v>
      </c>
      <c r="F41" s="16">
        <v>282</v>
      </c>
      <c r="G41" s="16">
        <v>457</v>
      </c>
      <c r="H41" s="16">
        <f>Tabla25[[#This Row],[P1 + P4]]+Tabla25[[#This Row],[P2 + P5]]</f>
        <v>618</v>
      </c>
      <c r="I41" s="16">
        <f>Tabla25[[#This Row],[P3 + P6]]</f>
        <v>457</v>
      </c>
    </row>
    <row r="42" spans="1:9">
      <c r="A42" s="17">
        <v>44895</v>
      </c>
      <c r="B42" s="16" t="s">
        <v>73</v>
      </c>
      <c r="C42" s="16">
        <v>31</v>
      </c>
      <c r="D42" s="16" t="s">
        <v>42</v>
      </c>
      <c r="E42" s="16">
        <v>337</v>
      </c>
      <c r="F42" s="16">
        <v>296</v>
      </c>
      <c r="G42" s="16">
        <v>429</v>
      </c>
      <c r="H42" s="16">
        <f>Tabla25[[#This Row],[P1 + P4]]+Tabla25[[#This Row],[P2 + P5]]</f>
        <v>633</v>
      </c>
      <c r="I42" s="16">
        <f>Tabla25[[#This Row],[P3 + P6]]</f>
        <v>429</v>
      </c>
    </row>
    <row r="43" spans="1:9">
      <c r="A43" s="17">
        <v>44926</v>
      </c>
      <c r="B43" s="16" t="s">
        <v>74</v>
      </c>
      <c r="C43" s="16">
        <v>31</v>
      </c>
      <c r="D43" s="16" t="s">
        <v>42</v>
      </c>
      <c r="E43" s="16">
        <v>364</v>
      </c>
      <c r="F43" s="16">
        <v>328</v>
      </c>
      <c r="G43" s="16">
        <v>295</v>
      </c>
      <c r="H43" s="16">
        <f>Tabla25[[#This Row],[P1 + P4]]+Tabla25[[#This Row],[P2 + P5]]</f>
        <v>692</v>
      </c>
      <c r="I43" s="16">
        <f>Tabla25[[#This Row],[P3 + P6]]</f>
        <v>295</v>
      </c>
    </row>
    <row r="44" spans="1:9">
      <c r="A44" s="17">
        <v>44957</v>
      </c>
      <c r="B44" s="16" t="s">
        <v>75</v>
      </c>
      <c r="C44" s="16">
        <v>28</v>
      </c>
      <c r="D44" s="16" t="s">
        <v>42</v>
      </c>
      <c r="E44" s="16">
        <v>371</v>
      </c>
      <c r="F44" s="16">
        <v>348</v>
      </c>
      <c r="G44" s="16">
        <v>206</v>
      </c>
      <c r="H44" s="16">
        <f>Tabla25[[#This Row],[P1 + P4]]+Tabla25[[#This Row],[P2 + P5]]</f>
        <v>719</v>
      </c>
      <c r="I44" s="16">
        <f>Tabla25[[#This Row],[P3 + P6]]</f>
        <v>206</v>
      </c>
    </row>
    <row r="45" spans="1:9">
      <c r="A45" s="17">
        <v>44985</v>
      </c>
      <c r="B45" s="16" t="s">
        <v>76</v>
      </c>
      <c r="C45" s="16">
        <v>31</v>
      </c>
      <c r="D45" s="16" t="s">
        <v>42</v>
      </c>
      <c r="E45" s="16">
        <v>389</v>
      </c>
      <c r="F45" s="16">
        <v>352</v>
      </c>
      <c r="G45" s="16">
        <v>352</v>
      </c>
      <c r="H45" s="16">
        <f>Tabla25[[#This Row],[P1 + P4]]+Tabla25[[#This Row],[P2 + P5]]</f>
        <v>741</v>
      </c>
      <c r="I45" s="16">
        <f>Tabla25[[#This Row],[P3 + P6]]</f>
        <v>352</v>
      </c>
    </row>
    <row r="48" spans="1:9">
      <c r="A48" s="16" t="s">
        <v>77</v>
      </c>
    </row>
    <row r="50" spans="1:7">
      <c r="A50" s="16" t="s">
        <v>37</v>
      </c>
      <c r="B50" s="16" t="s">
        <v>38</v>
      </c>
      <c r="C50" s="16" t="s">
        <v>39</v>
      </c>
      <c r="D50" s="16" t="s">
        <v>40</v>
      </c>
      <c r="E50" s="16" t="s">
        <v>32</v>
      </c>
      <c r="F50" s="16" t="s">
        <v>33</v>
      </c>
      <c r="G50" s="16" t="s">
        <v>34</v>
      </c>
    </row>
    <row r="51" spans="1:7">
      <c r="A51" s="16" t="s">
        <v>75</v>
      </c>
      <c r="B51" s="16" t="s">
        <v>76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74</v>
      </c>
      <c r="B52" s="16" t="s">
        <v>75</v>
      </c>
      <c r="C52" s="16">
        <v>28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73</v>
      </c>
      <c r="B53" s="16" t="s">
        <v>74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72</v>
      </c>
      <c r="B54" s="16" t="s">
        <v>73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71</v>
      </c>
      <c r="B55" s="16" t="s">
        <v>72</v>
      </c>
      <c r="C55" s="16">
        <v>30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70</v>
      </c>
      <c r="B56" s="16" t="s">
        <v>71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69</v>
      </c>
      <c r="B57" s="16" t="s">
        <v>70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347</v>
      </c>
      <c r="B58" s="16" t="s">
        <v>69</v>
      </c>
      <c r="C58" s="16">
        <v>29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67</v>
      </c>
      <c r="B59" s="16" t="s">
        <v>347</v>
      </c>
      <c r="C59" s="16">
        <v>33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66</v>
      </c>
      <c r="B60" s="16" t="s">
        <v>67</v>
      </c>
      <c r="C60" s="16">
        <v>30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65</v>
      </c>
      <c r="B61" s="16" t="s">
        <v>66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63</v>
      </c>
      <c r="B62" s="16" t="s">
        <v>65</v>
      </c>
      <c r="C62" s="16">
        <v>30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62</v>
      </c>
      <c r="B63" s="16" t="s">
        <v>63</v>
      </c>
      <c r="C63" s="16">
        <v>31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348</v>
      </c>
      <c r="B64" s="16" t="s">
        <v>62</v>
      </c>
      <c r="C64" s="16">
        <v>14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113</v>
      </c>
      <c r="B65" s="16" t="s">
        <v>348</v>
      </c>
      <c r="C65" s="16">
        <v>32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60</v>
      </c>
      <c r="B66" s="16" t="s">
        <v>113</v>
      </c>
      <c r="C66" s="16">
        <v>13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328</v>
      </c>
      <c r="B67" s="16" t="s">
        <v>60</v>
      </c>
      <c r="C67" s="16">
        <v>24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58</v>
      </c>
      <c r="B68" s="16" t="s">
        <v>328</v>
      </c>
      <c r="C68" s="16">
        <v>7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57</v>
      </c>
      <c r="B69" s="16" t="s">
        <v>58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55</v>
      </c>
      <c r="B70" s="16" t="s">
        <v>57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54</v>
      </c>
      <c r="B71" s="16" t="s">
        <v>55</v>
      </c>
      <c r="C71" s="16">
        <v>30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53</v>
      </c>
      <c r="B72" s="16" t="s">
        <v>54</v>
      </c>
      <c r="C72" s="16">
        <v>31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52</v>
      </c>
      <c r="B73" s="16" t="s">
        <v>53</v>
      </c>
      <c r="C73" s="16">
        <v>31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51</v>
      </c>
      <c r="B74" s="16" t="s">
        <v>52</v>
      </c>
      <c r="C74" s="16">
        <v>30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50</v>
      </c>
      <c r="B75" s="16" t="s">
        <v>51</v>
      </c>
      <c r="C75" s="16">
        <v>31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48</v>
      </c>
      <c r="B76" s="16" t="s">
        <v>50</v>
      </c>
      <c r="C76" s="16">
        <v>30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47</v>
      </c>
      <c r="B77" s="16" t="s">
        <v>48</v>
      </c>
      <c r="C77" s="16">
        <v>31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46</v>
      </c>
      <c r="B78" s="16" t="s">
        <v>47</v>
      </c>
      <c r="C78" s="16">
        <v>28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45</v>
      </c>
      <c r="B79" s="16" t="s">
        <v>46</v>
      </c>
      <c r="C79" s="16">
        <v>31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44</v>
      </c>
      <c r="B80" s="16" t="s">
        <v>45</v>
      </c>
      <c r="C80" s="16">
        <v>31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43</v>
      </c>
      <c r="B81" s="16" t="s">
        <v>44</v>
      </c>
      <c r="C81" s="16">
        <v>30</v>
      </c>
      <c r="D81" s="16" t="s">
        <v>42</v>
      </c>
      <c r="E81" s="16">
        <v>0</v>
      </c>
      <c r="F81" s="16">
        <v>0</v>
      </c>
      <c r="G81" s="16">
        <v>0</v>
      </c>
    </row>
    <row r="82" spans="1:7">
      <c r="A82" s="16" t="s">
        <v>41</v>
      </c>
      <c r="B82" s="16" t="s">
        <v>43</v>
      </c>
      <c r="C82" s="16">
        <v>31</v>
      </c>
      <c r="D82" s="16" t="s">
        <v>42</v>
      </c>
      <c r="E82" s="16">
        <v>0</v>
      </c>
      <c r="F82" s="16">
        <v>0</v>
      </c>
      <c r="G82" s="16">
        <v>0</v>
      </c>
    </row>
    <row r="83" spans="1:7">
      <c r="A83" s="16" t="s">
        <v>78</v>
      </c>
      <c r="B83" s="16" t="s">
        <v>41</v>
      </c>
      <c r="C83" s="16">
        <v>30</v>
      </c>
      <c r="D83" s="16" t="s">
        <v>42</v>
      </c>
      <c r="E83" s="16">
        <v>0</v>
      </c>
      <c r="F83" s="16">
        <v>0</v>
      </c>
      <c r="G83" s="16">
        <v>0</v>
      </c>
    </row>
    <row r="84" spans="1:7">
      <c r="A84" s="16" t="s">
        <v>88</v>
      </c>
      <c r="B84" s="16" t="s">
        <v>78</v>
      </c>
      <c r="C84" s="16">
        <v>31</v>
      </c>
      <c r="D84" s="16" t="s">
        <v>42</v>
      </c>
      <c r="E84" s="16">
        <v>0</v>
      </c>
      <c r="F84" s="16">
        <v>0</v>
      </c>
      <c r="G84" s="16">
        <v>0</v>
      </c>
    </row>
    <row r="85" spans="1:7">
      <c r="A85" s="16" t="s">
        <v>89</v>
      </c>
      <c r="B85" s="16" t="s">
        <v>88</v>
      </c>
      <c r="C85" s="16">
        <v>31</v>
      </c>
      <c r="D85" s="16" t="s">
        <v>42</v>
      </c>
      <c r="E85" s="16">
        <v>0</v>
      </c>
      <c r="F85" s="16">
        <v>0</v>
      </c>
      <c r="G85" s="16">
        <v>0</v>
      </c>
    </row>
    <row r="86" spans="1:7">
      <c r="A86" s="16" t="s">
        <v>91</v>
      </c>
      <c r="B86" s="16" t="s">
        <v>89</v>
      </c>
      <c r="C86" s="16">
        <v>30</v>
      </c>
      <c r="D86" s="16" t="s">
        <v>42</v>
      </c>
      <c r="E86" s="16">
        <v>0</v>
      </c>
      <c r="F86" s="16">
        <v>0</v>
      </c>
      <c r="G86" s="16">
        <v>0</v>
      </c>
    </row>
    <row r="87" spans="1:7">
      <c r="A87" s="16" t="s">
        <v>139</v>
      </c>
      <c r="B87" s="16" t="s">
        <v>91</v>
      </c>
      <c r="C87" s="16">
        <v>31</v>
      </c>
      <c r="D87" s="16" t="s">
        <v>42</v>
      </c>
      <c r="E87" s="16">
        <v>0</v>
      </c>
      <c r="F87" s="16">
        <v>0</v>
      </c>
      <c r="G87" s="16">
        <v>0</v>
      </c>
    </row>
    <row r="88" spans="1:7">
      <c r="A88" s="16" t="s">
        <v>349</v>
      </c>
      <c r="B88" s="16" t="s">
        <v>139</v>
      </c>
      <c r="C88" s="16">
        <v>30</v>
      </c>
      <c r="D88" s="16" t="s">
        <v>42</v>
      </c>
      <c r="E88" s="16">
        <v>0</v>
      </c>
      <c r="F88" s="16">
        <v>0</v>
      </c>
      <c r="G88" s="16">
        <v>0</v>
      </c>
    </row>
    <row r="89" spans="1:7">
      <c r="A89" s="16" t="s">
        <v>350</v>
      </c>
      <c r="B89" s="16" t="s">
        <v>349</v>
      </c>
      <c r="C89" s="16">
        <v>31</v>
      </c>
      <c r="D89" s="16" t="s">
        <v>42</v>
      </c>
      <c r="E89" s="16">
        <v>0</v>
      </c>
      <c r="F89" s="16">
        <v>0</v>
      </c>
      <c r="G89" s="16">
        <v>0</v>
      </c>
    </row>
    <row r="92" spans="1:7">
      <c r="A92" s="16" t="s">
        <v>79</v>
      </c>
    </row>
    <row r="94" spans="1:7">
      <c r="A94" s="16" t="s">
        <v>80</v>
      </c>
      <c r="B94" s="16" t="s">
        <v>81</v>
      </c>
      <c r="C94" s="16" t="s">
        <v>82</v>
      </c>
      <c r="D94" s="16" t="s">
        <v>83</v>
      </c>
    </row>
    <row r="95" spans="1:7">
      <c r="A95" s="16" t="s">
        <v>84</v>
      </c>
      <c r="B95" s="16">
        <v>15</v>
      </c>
      <c r="C95" s="16">
        <v>15</v>
      </c>
      <c r="D95" s="16">
        <v>0</v>
      </c>
    </row>
    <row r="96" spans="1:7">
      <c r="A96" s="16" t="s">
        <v>37</v>
      </c>
      <c r="B96" s="16" t="s">
        <v>38</v>
      </c>
      <c r="C96" s="16" t="s">
        <v>39</v>
      </c>
      <c r="D96" s="16" t="s">
        <v>40</v>
      </c>
      <c r="E96" s="16" t="s">
        <v>81</v>
      </c>
      <c r="F96" s="16" t="s">
        <v>82</v>
      </c>
      <c r="G96" s="16" t="s">
        <v>83</v>
      </c>
    </row>
    <row r="97" spans="1:7">
      <c r="A97" s="16" t="s">
        <v>75</v>
      </c>
      <c r="B97" s="16" t="s">
        <v>76</v>
      </c>
      <c r="C97" s="16">
        <v>31</v>
      </c>
      <c r="D97" s="16" t="s">
        <v>42</v>
      </c>
      <c r="E97" s="16">
        <v>6.6150000000000002</v>
      </c>
      <c r="F97" s="16">
        <v>8.07</v>
      </c>
      <c r="G97" s="16">
        <v>7.4569999999999999</v>
      </c>
    </row>
    <row r="98" spans="1:7">
      <c r="A98" s="16" t="s">
        <v>74</v>
      </c>
      <c r="B98" s="16" t="s">
        <v>75</v>
      </c>
      <c r="C98" s="16">
        <v>28</v>
      </c>
      <c r="D98" s="16" t="s">
        <v>42</v>
      </c>
      <c r="E98" s="16">
        <v>7.1619999999999999</v>
      </c>
      <c r="F98" s="16">
        <v>7.7229999999999999</v>
      </c>
      <c r="G98" s="16">
        <v>7.9749999999999996</v>
      </c>
    </row>
    <row r="99" spans="1:7">
      <c r="A99" s="16" t="s">
        <v>73</v>
      </c>
      <c r="B99" s="16" t="s">
        <v>74</v>
      </c>
      <c r="C99" s="16">
        <v>31</v>
      </c>
      <c r="D99" s="16" t="s">
        <v>42</v>
      </c>
      <c r="E99" s="16">
        <v>7.5350000000000001</v>
      </c>
      <c r="F99" s="16">
        <v>8.4130000000000003</v>
      </c>
      <c r="G99" s="16">
        <v>8.1479999999999997</v>
      </c>
    </row>
    <row r="100" spans="1:7">
      <c r="A100" s="16" t="s">
        <v>72</v>
      </c>
      <c r="B100" s="16" t="s">
        <v>73</v>
      </c>
      <c r="C100" s="16">
        <v>31</v>
      </c>
      <c r="D100" s="16" t="s">
        <v>42</v>
      </c>
      <c r="E100" s="16">
        <v>5.1260000000000003</v>
      </c>
      <c r="F100" s="16">
        <v>6.1959999999999997</v>
      </c>
      <c r="G100" s="16">
        <v>5.452</v>
      </c>
    </row>
    <row r="101" spans="1:7">
      <c r="A101" s="16" t="s">
        <v>71</v>
      </c>
      <c r="B101" s="16" t="s">
        <v>72</v>
      </c>
      <c r="C101" s="16">
        <v>30</v>
      </c>
      <c r="D101" s="16" t="s">
        <v>42</v>
      </c>
      <c r="E101" s="16">
        <v>4.9509999999999996</v>
      </c>
      <c r="F101" s="16">
        <v>4.29</v>
      </c>
      <c r="G101" s="16">
        <v>5.7160000000000002</v>
      </c>
    </row>
    <row r="102" spans="1:7">
      <c r="A102" s="16" t="s">
        <v>70</v>
      </c>
      <c r="B102" s="16" t="s">
        <v>71</v>
      </c>
      <c r="C102" s="16">
        <v>31</v>
      </c>
      <c r="D102" s="16" t="s">
        <v>42</v>
      </c>
      <c r="E102" s="16">
        <v>3.4689999999999999</v>
      </c>
      <c r="F102" s="16">
        <v>3.5110000000000001</v>
      </c>
      <c r="G102" s="16">
        <v>2.0920000000000001</v>
      </c>
    </row>
    <row r="103" spans="1:7">
      <c r="A103" s="16" t="s">
        <v>69</v>
      </c>
      <c r="B103" s="16" t="s">
        <v>70</v>
      </c>
      <c r="C103" s="16">
        <v>30</v>
      </c>
      <c r="D103" s="16" t="s">
        <v>42</v>
      </c>
      <c r="E103" s="16">
        <v>2.952</v>
      </c>
      <c r="F103" s="16">
        <v>3.218</v>
      </c>
      <c r="G103" s="16">
        <v>1.9259999999999999</v>
      </c>
    </row>
    <row r="104" spans="1:7">
      <c r="A104" s="16" t="s">
        <v>347</v>
      </c>
      <c r="B104" s="16" t="s">
        <v>69</v>
      </c>
      <c r="C104" s="16">
        <v>29</v>
      </c>
      <c r="D104" s="16" t="s">
        <v>42</v>
      </c>
      <c r="E104" s="16">
        <v>3.2269999999999999</v>
      </c>
      <c r="F104" s="16">
        <v>3.3730000000000002</v>
      </c>
      <c r="G104" s="16">
        <v>2.1739999999999999</v>
      </c>
    </row>
    <row r="105" spans="1:7">
      <c r="A105" s="16" t="s">
        <v>67</v>
      </c>
      <c r="B105" s="16" t="s">
        <v>347</v>
      </c>
      <c r="C105" s="16">
        <v>33</v>
      </c>
      <c r="D105" s="16" t="s">
        <v>42</v>
      </c>
      <c r="E105" s="16">
        <v>0</v>
      </c>
      <c r="F105" s="16">
        <v>0</v>
      </c>
      <c r="G105" s="16">
        <v>0</v>
      </c>
    </row>
    <row r="106" spans="1:7">
      <c r="A106" s="16" t="s">
        <v>66</v>
      </c>
      <c r="B106" s="16" t="s">
        <v>67</v>
      </c>
      <c r="C106" s="16">
        <v>30</v>
      </c>
      <c r="D106" s="16" t="s">
        <v>42</v>
      </c>
      <c r="E106" s="16">
        <v>3.6779999999999999</v>
      </c>
      <c r="F106" s="16">
        <v>4.6399999999999997</v>
      </c>
      <c r="G106" s="16">
        <v>5.6360000000000001</v>
      </c>
    </row>
    <row r="107" spans="1:7">
      <c r="A107" s="16" t="s">
        <v>65</v>
      </c>
      <c r="B107" s="16" t="s">
        <v>66</v>
      </c>
      <c r="C107" s="16">
        <v>31</v>
      </c>
      <c r="D107" s="16" t="s">
        <v>42</v>
      </c>
      <c r="E107" s="16">
        <v>4.8090000000000002</v>
      </c>
      <c r="F107" s="16">
        <v>6.5830000000000002</v>
      </c>
      <c r="G107" s="16">
        <v>3.3010000000000002</v>
      </c>
    </row>
    <row r="108" spans="1:7">
      <c r="A108" s="16" t="s">
        <v>63</v>
      </c>
      <c r="B108" s="16" t="s">
        <v>65</v>
      </c>
      <c r="C108" s="16">
        <v>30</v>
      </c>
      <c r="D108" s="16" t="s">
        <v>42</v>
      </c>
      <c r="E108" s="16">
        <v>5.18</v>
      </c>
      <c r="F108" s="16">
        <v>7.0819999999999999</v>
      </c>
      <c r="G108" s="16">
        <v>4.5609999999999999</v>
      </c>
    </row>
    <row r="109" spans="1:7">
      <c r="A109" s="16" t="s">
        <v>62</v>
      </c>
      <c r="B109" s="16" t="s">
        <v>63</v>
      </c>
      <c r="C109" s="16">
        <v>31</v>
      </c>
      <c r="D109" s="16" t="s">
        <v>42</v>
      </c>
      <c r="E109" s="16">
        <v>7.7670000000000003</v>
      </c>
      <c r="F109" s="16">
        <v>9.4239999999999995</v>
      </c>
      <c r="G109" s="16">
        <v>4.351</v>
      </c>
    </row>
    <row r="110" spans="1:7">
      <c r="A110" s="16" t="s">
        <v>348</v>
      </c>
      <c r="B110" s="16" t="s">
        <v>62</v>
      </c>
      <c r="C110" s="16">
        <v>14</v>
      </c>
      <c r="D110" s="16" t="s">
        <v>42</v>
      </c>
      <c r="E110" s="16">
        <v>6.5910000000000002</v>
      </c>
      <c r="F110" s="16">
        <v>8.4149999999999991</v>
      </c>
      <c r="G110" s="16">
        <v>3.1360000000000001</v>
      </c>
    </row>
    <row r="111" spans="1:7">
      <c r="A111" s="16" t="s">
        <v>113</v>
      </c>
      <c r="B111" s="16" t="s">
        <v>348</v>
      </c>
      <c r="C111" s="16">
        <v>32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60</v>
      </c>
      <c r="B112" s="16" t="s">
        <v>113</v>
      </c>
      <c r="C112" s="16">
        <v>13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328</v>
      </c>
      <c r="B113" s="16" t="s">
        <v>60</v>
      </c>
      <c r="C113" s="16">
        <v>24</v>
      </c>
      <c r="D113" s="16" t="s">
        <v>42</v>
      </c>
      <c r="E113" s="16">
        <v>6.1210000000000004</v>
      </c>
      <c r="F113" s="16">
        <v>7.0960000000000001</v>
      </c>
      <c r="G113" s="16">
        <v>4.452</v>
      </c>
    </row>
    <row r="114" spans="1:7">
      <c r="A114" s="16" t="s">
        <v>58</v>
      </c>
      <c r="B114" s="16" t="s">
        <v>328</v>
      </c>
      <c r="C114" s="16">
        <v>7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57</v>
      </c>
      <c r="B115" s="16" t="s">
        <v>58</v>
      </c>
      <c r="C115" s="16">
        <v>30</v>
      </c>
      <c r="D115" s="16" t="s">
        <v>42</v>
      </c>
      <c r="E115" s="16">
        <v>5.5540000000000003</v>
      </c>
      <c r="F115" s="16">
        <v>7.6539999999999999</v>
      </c>
      <c r="G115" s="16">
        <v>5.2210000000000001</v>
      </c>
    </row>
    <row r="116" spans="1:7">
      <c r="A116" s="16" t="s">
        <v>55</v>
      </c>
      <c r="B116" s="16" t="s">
        <v>57</v>
      </c>
      <c r="C116" s="16">
        <v>31</v>
      </c>
      <c r="D116" s="16" t="s">
        <v>42</v>
      </c>
      <c r="E116" s="16">
        <v>4.3049999999999997</v>
      </c>
      <c r="F116" s="16">
        <v>4.8730000000000002</v>
      </c>
      <c r="G116" s="16">
        <v>2.2440000000000002</v>
      </c>
    </row>
    <row r="117" spans="1:7">
      <c r="A117" s="16" t="s">
        <v>54</v>
      </c>
      <c r="B117" s="16" t="s">
        <v>55</v>
      </c>
      <c r="C117" s="16">
        <v>30</v>
      </c>
      <c r="D117" s="16" t="s">
        <v>42</v>
      </c>
      <c r="E117" s="16">
        <v>2.9369999999999998</v>
      </c>
      <c r="F117" s="16">
        <v>3.4870000000000001</v>
      </c>
      <c r="G117" s="16">
        <v>2.7480000000000002</v>
      </c>
    </row>
    <row r="118" spans="1:7">
      <c r="A118" s="16" t="s">
        <v>53</v>
      </c>
      <c r="B118" s="16" t="s">
        <v>54</v>
      </c>
      <c r="C118" s="16">
        <v>31</v>
      </c>
      <c r="D118" s="16" t="s">
        <v>42</v>
      </c>
      <c r="E118" s="16">
        <v>3.1150000000000002</v>
      </c>
      <c r="F118" s="16">
        <v>2.8559999999999999</v>
      </c>
      <c r="G118" s="16">
        <v>2.3559999999999999</v>
      </c>
    </row>
    <row r="119" spans="1:7">
      <c r="A119" s="16" t="s">
        <v>52</v>
      </c>
      <c r="B119" s="16" t="s">
        <v>53</v>
      </c>
      <c r="C119" s="16">
        <v>31</v>
      </c>
      <c r="D119" s="16" t="s">
        <v>42</v>
      </c>
      <c r="E119" s="16">
        <v>3.641</v>
      </c>
      <c r="F119" s="16">
        <v>3.798</v>
      </c>
      <c r="G119" s="16">
        <v>2.6680000000000001</v>
      </c>
    </row>
    <row r="120" spans="1:7">
      <c r="A120" s="16" t="s">
        <v>51</v>
      </c>
      <c r="B120" s="16" t="s">
        <v>52</v>
      </c>
      <c r="C120" s="16">
        <v>30</v>
      </c>
      <c r="D120" s="16" t="s">
        <v>42</v>
      </c>
      <c r="E120" s="16">
        <v>4.3440000000000003</v>
      </c>
      <c r="F120" s="16">
        <v>5.1109999999999998</v>
      </c>
      <c r="G120" s="16">
        <v>4.516</v>
      </c>
    </row>
    <row r="121" spans="1:7">
      <c r="A121" s="16" t="s">
        <v>50</v>
      </c>
      <c r="B121" s="16" t="s">
        <v>51</v>
      </c>
      <c r="C121" s="16">
        <v>31</v>
      </c>
      <c r="D121" s="16" t="s">
        <v>42</v>
      </c>
      <c r="E121" s="16">
        <v>6.6310000000000002</v>
      </c>
      <c r="F121" s="16">
        <v>0</v>
      </c>
      <c r="G121" s="16">
        <v>0</v>
      </c>
    </row>
    <row r="122" spans="1:7">
      <c r="A122" s="16" t="s">
        <v>48</v>
      </c>
      <c r="B122" s="16" t="s">
        <v>50</v>
      </c>
      <c r="C122" s="16">
        <v>30</v>
      </c>
      <c r="D122" s="16" t="s">
        <v>42</v>
      </c>
      <c r="E122" s="16">
        <v>8.577</v>
      </c>
      <c r="F122" s="16">
        <v>0</v>
      </c>
      <c r="G122" s="16">
        <v>0</v>
      </c>
    </row>
    <row r="123" spans="1:7">
      <c r="A123" s="16" t="s">
        <v>47</v>
      </c>
      <c r="B123" s="16" t="s">
        <v>48</v>
      </c>
      <c r="C123" s="16">
        <v>31</v>
      </c>
      <c r="D123" s="16" t="s">
        <v>42</v>
      </c>
      <c r="E123" s="16">
        <v>8.3919999999999995</v>
      </c>
      <c r="F123" s="16">
        <v>0</v>
      </c>
      <c r="G123" s="16">
        <v>0</v>
      </c>
    </row>
    <row r="124" spans="1:7">
      <c r="A124" s="16" t="s">
        <v>46</v>
      </c>
      <c r="B124" s="16" t="s">
        <v>47</v>
      </c>
      <c r="C124" s="16">
        <v>28</v>
      </c>
      <c r="D124" s="16" t="s">
        <v>42</v>
      </c>
      <c r="E124" s="16">
        <v>8.4440000000000008</v>
      </c>
      <c r="F124" s="16">
        <v>0</v>
      </c>
      <c r="G124" s="16">
        <v>0</v>
      </c>
    </row>
    <row r="125" spans="1:7">
      <c r="A125" s="16" t="s">
        <v>45</v>
      </c>
      <c r="B125" s="16" t="s">
        <v>46</v>
      </c>
      <c r="C125" s="16">
        <v>31</v>
      </c>
      <c r="D125" s="16" t="s">
        <v>42</v>
      </c>
      <c r="E125" s="16">
        <v>10.638999999999999</v>
      </c>
      <c r="F125" s="16">
        <v>0</v>
      </c>
      <c r="G125" s="16">
        <v>0</v>
      </c>
    </row>
    <row r="126" spans="1:7">
      <c r="A126" s="16" t="s">
        <v>44</v>
      </c>
      <c r="B126" s="16" t="s">
        <v>45</v>
      </c>
      <c r="C126" s="16">
        <v>31</v>
      </c>
      <c r="D126" s="16" t="s">
        <v>42</v>
      </c>
      <c r="E126" s="16">
        <v>7.343</v>
      </c>
      <c r="F126" s="16">
        <v>0</v>
      </c>
      <c r="G126" s="16">
        <v>0</v>
      </c>
    </row>
    <row r="127" spans="1:7">
      <c r="A127" s="16" t="s">
        <v>43</v>
      </c>
      <c r="B127" s="16" t="s">
        <v>44</v>
      </c>
      <c r="C127" s="16">
        <v>30</v>
      </c>
      <c r="D127" s="16" t="s">
        <v>42</v>
      </c>
      <c r="E127" s="16">
        <v>6.3949999999999996</v>
      </c>
      <c r="F127" s="16">
        <v>0</v>
      </c>
      <c r="G127" s="16">
        <v>0</v>
      </c>
    </row>
    <row r="128" spans="1:7">
      <c r="A128" s="16" t="s">
        <v>41</v>
      </c>
      <c r="B128" s="16" t="s">
        <v>43</v>
      </c>
      <c r="C128" s="16">
        <v>31</v>
      </c>
      <c r="D128" s="16" t="s">
        <v>42</v>
      </c>
      <c r="E128" s="16">
        <v>6.9009999999999998</v>
      </c>
      <c r="F128" s="16">
        <v>0</v>
      </c>
      <c r="G128" s="16">
        <v>0</v>
      </c>
    </row>
    <row r="129" spans="1:7">
      <c r="A129" s="16" t="s">
        <v>78</v>
      </c>
      <c r="B129" s="16" t="s">
        <v>41</v>
      </c>
      <c r="C129" s="16">
        <v>30</v>
      </c>
      <c r="D129" s="16" t="s">
        <v>42</v>
      </c>
      <c r="E129" s="16">
        <v>3.1339999999999999</v>
      </c>
      <c r="F129" s="16">
        <v>0</v>
      </c>
      <c r="G129" s="16">
        <v>0</v>
      </c>
    </row>
    <row r="130" spans="1:7">
      <c r="A130" s="16" t="s">
        <v>88</v>
      </c>
      <c r="B130" s="16" t="s">
        <v>78</v>
      </c>
      <c r="C130" s="16">
        <v>31</v>
      </c>
      <c r="D130" s="16" t="s">
        <v>42</v>
      </c>
      <c r="E130" s="16">
        <v>3.052</v>
      </c>
      <c r="F130" s="16">
        <v>0</v>
      </c>
      <c r="G130" s="16">
        <v>0</v>
      </c>
    </row>
    <row r="131" spans="1:7">
      <c r="A131" s="16" t="s">
        <v>89</v>
      </c>
      <c r="B131" s="16" t="s">
        <v>88</v>
      </c>
      <c r="C131" s="16">
        <v>31</v>
      </c>
      <c r="D131" s="16" t="s">
        <v>42</v>
      </c>
      <c r="E131" s="16">
        <v>3.4980000000000002</v>
      </c>
      <c r="F131" s="16">
        <v>0</v>
      </c>
      <c r="G131" s="16">
        <v>0</v>
      </c>
    </row>
    <row r="132" spans="1:7">
      <c r="A132" s="16" t="s">
        <v>91</v>
      </c>
      <c r="B132" s="16" t="s">
        <v>89</v>
      </c>
      <c r="C132" s="16">
        <v>30</v>
      </c>
      <c r="D132" s="16" t="s">
        <v>42</v>
      </c>
      <c r="E132" s="16">
        <v>3.0579999999999998</v>
      </c>
      <c r="F132" s="16">
        <v>0</v>
      </c>
      <c r="G132" s="16">
        <v>0</v>
      </c>
    </row>
    <row r="133" spans="1:7">
      <c r="A133" s="16" t="s">
        <v>139</v>
      </c>
      <c r="B133" s="16" t="s">
        <v>91</v>
      </c>
      <c r="C133" s="16">
        <v>31</v>
      </c>
      <c r="D133" s="16" t="s">
        <v>42</v>
      </c>
      <c r="E133" s="16">
        <v>2.7559999999999998</v>
      </c>
      <c r="F133" s="16">
        <v>0</v>
      </c>
      <c r="G133" s="16">
        <v>0</v>
      </c>
    </row>
    <row r="134" spans="1:7">
      <c r="A134" s="16" t="s">
        <v>349</v>
      </c>
      <c r="B134" s="16" t="s">
        <v>139</v>
      </c>
      <c r="C134" s="16">
        <v>30</v>
      </c>
      <c r="D134" s="16" t="s">
        <v>42</v>
      </c>
      <c r="E134" s="16">
        <v>5.3650000000000002</v>
      </c>
      <c r="F134" s="16">
        <v>0</v>
      </c>
      <c r="G134" s="16">
        <v>0</v>
      </c>
    </row>
    <row r="135" spans="1:7">
      <c r="A135" s="16" t="s">
        <v>350</v>
      </c>
      <c r="B135" s="16" t="s">
        <v>349</v>
      </c>
      <c r="C135" s="16">
        <v>31</v>
      </c>
      <c r="D135" s="16" t="s">
        <v>42</v>
      </c>
      <c r="E135" s="16">
        <v>8.1560000000000006</v>
      </c>
      <c r="F135" s="16">
        <v>0</v>
      </c>
      <c r="G135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D567-0214-4D4C-ACA6-D99854EDD0B6}">
  <dimension ref="A1:N126"/>
  <sheetViews>
    <sheetView topLeftCell="A16" workbookViewId="0">
      <selection activeCell="I35" sqref="I35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351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3220</v>
      </c>
      <c r="C4" s="16">
        <v>2100</v>
      </c>
      <c r="D4" s="16">
        <v>4031</v>
      </c>
    </row>
    <row r="5" spans="1:14">
      <c r="A5" s="16" t="s">
        <v>36</v>
      </c>
      <c r="B5" s="16">
        <v>34</v>
      </c>
      <c r="C5" s="16">
        <v>22</v>
      </c>
      <c r="D5" s="16">
        <v>43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43961</v>
      </c>
      <c r="B7" s="16" t="s">
        <v>363</v>
      </c>
      <c r="C7" s="16">
        <v>31</v>
      </c>
      <c r="D7" s="16" t="s">
        <v>42</v>
      </c>
      <c r="E7" s="16">
        <v>62</v>
      </c>
      <c r="F7" s="16">
        <v>179</v>
      </c>
      <c r="G7" s="16">
        <v>121</v>
      </c>
      <c r="H7" s="16">
        <f>Tabla26[[#This Row],[P1 + P4]]*VLOOKUP(MONTH(Tabla26[[#This Row],[Fecha final]]),Tabla20[#All],2,FALSE)</f>
        <v>0</v>
      </c>
      <c r="I7" s="16">
        <f>Tabla26[[#This Row],[P2 + P5]]*VLOOKUP(MONTH(Tabla26[[#This Row],[Fecha final]]),Tabla20[#All],3,FALSE)</f>
        <v>0</v>
      </c>
      <c r="J7" s="16">
        <f>(Tabla26[[#This Row],[P3 + P6]])*VLOOKUP(MONTH(Tabla26[[#This Row],[Fecha final]]),Tabla20[#All],4,FALSE)</f>
        <v>42.325800000000001</v>
      </c>
      <c r="K7" s="16">
        <f>Tabla26[[#This Row],[P1 + P4]]*VLOOKUP(MONTH(Tabla26[[#This Row],[Fecha final]]),Tabla20[#All],5,FALSE)</f>
        <v>62</v>
      </c>
      <c r="L7" s="16">
        <f>Tabla26[[#This Row],[P2 + P5]]*VLOOKUP(MONTH(Tabla26[[#This Row],[Fecha final]]),Tabla20[#All],6,FALSE)</f>
        <v>0</v>
      </c>
      <c r="M7" s="16">
        <f>Tabla26[[#This Row],[P3 + P6]]*VLOOKUP(MONTH(Tabla26[[#This Row],[Fecha final]]),Tabla20[#All],7,FALSE)</f>
        <v>78.674199999999999</v>
      </c>
      <c r="N7" s="16">
        <f>YEAR(Tabla26[[#This Row],[Fecha final]])</f>
        <v>2020</v>
      </c>
    </row>
    <row r="8" spans="1:14">
      <c r="A8" s="17">
        <v>43992</v>
      </c>
      <c r="B8" s="16" t="s">
        <v>362</v>
      </c>
      <c r="C8" s="16">
        <v>30</v>
      </c>
      <c r="D8" s="16" t="s">
        <v>42</v>
      </c>
      <c r="E8" s="16">
        <v>78</v>
      </c>
      <c r="F8" s="16">
        <v>186</v>
      </c>
      <c r="G8" s="16">
        <v>116</v>
      </c>
      <c r="H8" s="16">
        <f>Tabla26[[#This Row],[P1 + P4]]*VLOOKUP(MONTH(Tabla26[[#This Row],[Fecha final]]),Tabla20[#All],2,FALSE)</f>
        <v>78</v>
      </c>
      <c r="I8" s="16">
        <f>Tabla26[[#This Row],[P2 + P5]]*VLOOKUP(MONTH(Tabla26[[#This Row],[Fecha final]]),Tabla20[#All],3,FALSE)</f>
        <v>186</v>
      </c>
      <c r="J8" s="16">
        <f>(Tabla26[[#This Row],[P3 + P6]])*VLOOKUP(MONTH(Tabla26[[#This Row],[Fecha final]]),Tabla20[#All],4,FALSE)</f>
        <v>0</v>
      </c>
      <c r="K8" s="16">
        <f>Tabla26[[#This Row],[P1 + P4]]*VLOOKUP(MONTH(Tabla26[[#This Row],[Fecha final]]),Tabla20[#All],5,FALSE)</f>
        <v>0</v>
      </c>
      <c r="L8" s="16">
        <f>Tabla26[[#This Row],[P2 + P5]]*VLOOKUP(MONTH(Tabla26[[#This Row],[Fecha final]]),Tabla20[#All],6,FALSE)</f>
        <v>0</v>
      </c>
      <c r="M8" s="16">
        <f>Tabla26[[#This Row],[P3 + P6]]*VLOOKUP(MONTH(Tabla26[[#This Row],[Fecha final]]),Tabla20[#All],7,FALSE)</f>
        <v>116</v>
      </c>
      <c r="N8" s="16">
        <f>YEAR(Tabla26[[#This Row],[Fecha final]])</f>
        <v>2020</v>
      </c>
    </row>
    <row r="9" spans="1:14">
      <c r="A9" s="17">
        <v>44022</v>
      </c>
      <c r="B9" s="16" t="s">
        <v>361</v>
      </c>
      <c r="C9" s="16">
        <v>40</v>
      </c>
      <c r="D9" s="16" t="s">
        <v>42</v>
      </c>
      <c r="E9" s="16">
        <v>133</v>
      </c>
      <c r="F9" s="16">
        <v>275</v>
      </c>
      <c r="G9" s="16">
        <v>149</v>
      </c>
      <c r="H9" s="16">
        <f>Tabla26[[#This Row],[P1 + P4]]*VLOOKUP(MONTH(Tabla26[[#This Row],[Fecha final]]),Tabla20[#All],2,FALSE)</f>
        <v>0</v>
      </c>
      <c r="I9" s="16">
        <f>Tabla26[[#This Row],[P2 + P5]]*VLOOKUP(MONTH(Tabla26[[#This Row],[Fecha final]]),Tabla20[#All],3,FALSE)</f>
        <v>0</v>
      </c>
      <c r="J9" s="16">
        <f>(Tabla26[[#This Row],[P3 + P6]])*VLOOKUP(MONTH(Tabla26[[#This Row],[Fecha final]]),Tabla20[#All],4,FALSE)</f>
        <v>50.004400000000004</v>
      </c>
      <c r="K9" s="16">
        <f>Tabla26[[#This Row],[P1 + P4]]*VLOOKUP(MONTH(Tabla26[[#This Row],[Fecha final]]),Tabla20[#All],5,FALSE)</f>
        <v>133</v>
      </c>
      <c r="L9" s="16">
        <f>Tabla26[[#This Row],[P2 + P5]]*VLOOKUP(MONTH(Tabla26[[#This Row],[Fecha final]]),Tabla20[#All],6,FALSE)</f>
        <v>0</v>
      </c>
      <c r="M9" s="16">
        <f>Tabla26[[#This Row],[P3 + P6]]*VLOOKUP(MONTH(Tabla26[[#This Row],[Fecha final]]),Tabla20[#All],7,FALSE)</f>
        <v>98.995599999999996</v>
      </c>
      <c r="N9" s="16">
        <f>YEAR(Tabla26[[#This Row],[Fecha final]])</f>
        <v>2020</v>
      </c>
    </row>
    <row r="10" spans="1:14">
      <c r="A10" s="17">
        <v>44062</v>
      </c>
      <c r="B10" s="16" t="s">
        <v>360</v>
      </c>
      <c r="C10" s="16">
        <v>22</v>
      </c>
      <c r="D10" s="16" t="s">
        <v>42</v>
      </c>
      <c r="E10" s="16">
        <v>68</v>
      </c>
      <c r="F10" s="16">
        <v>155</v>
      </c>
      <c r="G10" s="16">
        <v>81</v>
      </c>
      <c r="H10" s="16">
        <f>Tabla26[[#This Row],[P1 + P4]]*VLOOKUP(MONTH(Tabla26[[#This Row],[Fecha final]]),Tabla20[#All],2,FALSE)</f>
        <v>0</v>
      </c>
      <c r="I10" s="16">
        <f>Tabla26[[#This Row],[P2 + P5]]*VLOOKUP(MONTH(Tabla26[[#This Row],[Fecha final]]),Tabla20[#All],3,FALSE)</f>
        <v>0</v>
      </c>
      <c r="J10" s="16">
        <f>(Tabla26[[#This Row],[P3 + P6]])*VLOOKUP(MONTH(Tabla26[[#This Row],[Fecha final]]),Tabla20[#All],4,FALSE)</f>
        <v>28.3338</v>
      </c>
      <c r="K10" s="16">
        <f>Tabla26[[#This Row],[P1 + P4]]*VLOOKUP(MONTH(Tabla26[[#This Row],[Fecha final]]),Tabla20[#All],5,FALSE)</f>
        <v>68</v>
      </c>
      <c r="L10" s="16">
        <f>Tabla26[[#This Row],[P2 + P5]]*VLOOKUP(MONTH(Tabla26[[#This Row],[Fecha final]]),Tabla20[#All],6,FALSE)</f>
        <v>0</v>
      </c>
      <c r="M10" s="16">
        <f>Tabla26[[#This Row],[P3 + P6]]*VLOOKUP(MONTH(Tabla26[[#This Row],[Fecha final]]),Tabla20[#All],7,FALSE)</f>
        <v>52.666200000000003</v>
      </c>
      <c r="N10" s="16">
        <f>YEAR(Tabla26[[#This Row],[Fecha final]])</f>
        <v>2020</v>
      </c>
    </row>
    <row r="11" spans="1:14">
      <c r="A11" s="17">
        <v>44084</v>
      </c>
      <c r="B11" s="16" t="s">
        <v>359</v>
      </c>
      <c r="C11" s="16">
        <v>30</v>
      </c>
      <c r="D11" s="16" t="s">
        <v>42</v>
      </c>
      <c r="E11" s="16">
        <v>123</v>
      </c>
      <c r="F11" s="16">
        <v>255</v>
      </c>
      <c r="G11" s="16">
        <v>109</v>
      </c>
      <c r="H11" s="16">
        <f>Tabla26[[#This Row],[P1 + P4]]*VLOOKUP(MONTH(Tabla26[[#This Row],[Fecha final]]),Tabla20[#All],2,FALSE)</f>
        <v>0</v>
      </c>
      <c r="I11" s="16">
        <f>Tabla26[[#This Row],[P2 + P5]]*VLOOKUP(MONTH(Tabla26[[#This Row],[Fecha final]]),Tabla20[#All],3,FALSE)</f>
        <v>0</v>
      </c>
      <c r="J11" s="16">
        <f>(Tabla26[[#This Row],[P3 + P6]])*VLOOKUP(MONTH(Tabla26[[#This Row],[Fecha final]]),Tabla20[#All],4,FALSE)</f>
        <v>0</v>
      </c>
      <c r="K11" s="16">
        <f>Tabla26[[#This Row],[P1 + P4]]*VLOOKUP(MONTH(Tabla26[[#This Row],[Fecha final]]),Tabla20[#All],5,FALSE)</f>
        <v>123</v>
      </c>
      <c r="L11" s="16">
        <f>Tabla26[[#This Row],[P2 + P5]]*VLOOKUP(MONTH(Tabla26[[#This Row],[Fecha final]]),Tabla20[#All],6,FALSE)</f>
        <v>255</v>
      </c>
      <c r="M11" s="16">
        <f>Tabla26[[#This Row],[P3 + P6]]*VLOOKUP(MONTH(Tabla26[[#This Row],[Fecha final]]),Tabla20[#All],7,FALSE)</f>
        <v>109</v>
      </c>
      <c r="N11" s="16">
        <f>YEAR(Tabla26[[#This Row],[Fecha final]])</f>
        <v>2020</v>
      </c>
    </row>
    <row r="12" spans="1:14">
      <c r="A12" s="17">
        <v>44114</v>
      </c>
      <c r="B12" s="16" t="s">
        <v>358</v>
      </c>
      <c r="C12" s="16">
        <v>31</v>
      </c>
      <c r="D12" s="16" t="s">
        <v>42</v>
      </c>
      <c r="E12" s="16">
        <v>216</v>
      </c>
      <c r="F12" s="16">
        <v>721</v>
      </c>
      <c r="G12" s="16">
        <v>298</v>
      </c>
      <c r="H12" s="16">
        <f>Tabla26[[#This Row],[P1 + P4]]*VLOOKUP(MONTH(Tabla26[[#This Row],[Fecha final]]),Tabla20[#All],2,FALSE)</f>
        <v>0</v>
      </c>
      <c r="I12" s="16">
        <f>Tabla26[[#This Row],[P2 + P5]]*VLOOKUP(MONTH(Tabla26[[#This Row],[Fecha final]]),Tabla20[#All],3,FALSE)</f>
        <v>721</v>
      </c>
      <c r="J12" s="16">
        <f>(Tabla26[[#This Row],[P3 + P6]])*VLOOKUP(MONTH(Tabla26[[#This Row],[Fecha final]]),Tabla20[#All],4,FALSE)</f>
        <v>82.486400000000003</v>
      </c>
      <c r="K12" s="16">
        <f>Tabla26[[#This Row],[P1 + P4]]*VLOOKUP(MONTH(Tabla26[[#This Row],[Fecha final]]),Tabla20[#All],5,FALSE)</f>
        <v>0</v>
      </c>
      <c r="L12" s="16">
        <f>Tabla26[[#This Row],[P2 + P5]]*VLOOKUP(MONTH(Tabla26[[#This Row],[Fecha final]]),Tabla20[#All],6,FALSE)</f>
        <v>0</v>
      </c>
      <c r="M12" s="16">
        <f>Tabla26[[#This Row],[P3 + P6]]*VLOOKUP(MONTH(Tabla26[[#This Row],[Fecha final]]),Tabla20[#All],7,FALSE)</f>
        <v>215.5136</v>
      </c>
      <c r="N12" s="16">
        <f>YEAR(Tabla26[[#This Row],[Fecha final]])</f>
        <v>2020</v>
      </c>
    </row>
    <row r="13" spans="1:14">
      <c r="A13" s="17">
        <v>44145</v>
      </c>
      <c r="B13" s="16" t="s">
        <v>357</v>
      </c>
      <c r="C13" s="16">
        <v>30</v>
      </c>
      <c r="D13" s="16" t="s">
        <v>42</v>
      </c>
      <c r="E13" s="16">
        <v>68</v>
      </c>
      <c r="F13" s="16">
        <v>628</v>
      </c>
      <c r="G13" s="16">
        <v>115</v>
      </c>
      <c r="H13" s="16">
        <f>Tabla26[[#This Row],[P1 + P4]]*VLOOKUP(MONTH(Tabla26[[#This Row],[Fecha final]]),Tabla20[#All],2,FALSE)</f>
        <v>68</v>
      </c>
      <c r="I13" s="16">
        <f>Tabla26[[#This Row],[P2 + P5]]*VLOOKUP(MONTH(Tabla26[[#This Row],[Fecha final]]),Tabla20[#All],3,FALSE)</f>
        <v>628</v>
      </c>
      <c r="J13" s="16">
        <f>(Tabla26[[#This Row],[P3 + P6]])*VLOOKUP(MONTH(Tabla26[[#This Row],[Fecha final]]),Tabla20[#All],4,FALSE)</f>
        <v>0</v>
      </c>
      <c r="K13" s="16">
        <f>Tabla26[[#This Row],[P1 + P4]]*VLOOKUP(MONTH(Tabla26[[#This Row],[Fecha final]]),Tabla20[#All],5,FALSE)</f>
        <v>0</v>
      </c>
      <c r="L13" s="16">
        <f>Tabla26[[#This Row],[P2 + P5]]*VLOOKUP(MONTH(Tabla26[[#This Row],[Fecha final]]),Tabla20[#All],6,FALSE)</f>
        <v>0</v>
      </c>
      <c r="M13" s="16">
        <f>Tabla26[[#This Row],[P3 + P6]]*VLOOKUP(MONTH(Tabla26[[#This Row],[Fecha final]]),Tabla20[#All],7,FALSE)</f>
        <v>115</v>
      </c>
      <c r="N13" s="16">
        <f>YEAR(Tabla26[[#This Row],[Fecha final]])</f>
        <v>2020</v>
      </c>
    </row>
    <row r="14" spans="1:14">
      <c r="A14" s="17">
        <v>44175</v>
      </c>
      <c r="B14" s="16" t="s">
        <v>356</v>
      </c>
      <c r="C14" s="16">
        <v>31</v>
      </c>
      <c r="D14" s="16" t="s">
        <v>42</v>
      </c>
      <c r="E14" s="16">
        <v>58</v>
      </c>
      <c r="F14" s="16">
        <v>878</v>
      </c>
      <c r="G14" s="16">
        <v>136</v>
      </c>
      <c r="H14" s="16">
        <f>Tabla26[[#This Row],[P1 + P4]]*VLOOKUP(MONTH(Tabla26[[#This Row],[Fecha final]]),Tabla20[#All],2,FALSE)</f>
        <v>58</v>
      </c>
      <c r="I14" s="16">
        <f>Tabla26[[#This Row],[P2 + P5]]*VLOOKUP(MONTH(Tabla26[[#This Row],[Fecha final]]),Tabla20[#All],3,FALSE)</f>
        <v>878</v>
      </c>
      <c r="J14" s="16">
        <f>(Tabla26[[#This Row],[P3 + P6]])*VLOOKUP(MONTH(Tabla26[[#This Row],[Fecha final]]),Tabla20[#All],4,FALSE)</f>
        <v>0</v>
      </c>
      <c r="K14" s="16">
        <f>Tabla26[[#This Row],[P1 + P4]]*VLOOKUP(MONTH(Tabla26[[#This Row],[Fecha final]]),Tabla20[#All],5,FALSE)</f>
        <v>0</v>
      </c>
      <c r="L14" s="16">
        <f>Tabla26[[#This Row],[P2 + P5]]*VLOOKUP(MONTH(Tabla26[[#This Row],[Fecha final]]),Tabla20[#All],6,FALSE)</f>
        <v>0</v>
      </c>
      <c r="M14" s="16">
        <f>Tabla26[[#This Row],[P3 + P6]]*VLOOKUP(MONTH(Tabla26[[#This Row],[Fecha final]]),Tabla20[#All],7,FALSE)</f>
        <v>136</v>
      </c>
      <c r="N14" s="16">
        <f>YEAR(Tabla26[[#This Row],[Fecha final]])</f>
        <v>2021</v>
      </c>
    </row>
    <row r="15" spans="1:14">
      <c r="A15" s="17">
        <v>44206</v>
      </c>
      <c r="B15" s="16" t="s">
        <v>355</v>
      </c>
      <c r="C15" s="16">
        <v>31</v>
      </c>
      <c r="D15" s="16" t="s">
        <v>42</v>
      </c>
      <c r="E15" s="16">
        <v>67</v>
      </c>
      <c r="F15" s="16">
        <v>1023</v>
      </c>
      <c r="G15" s="16">
        <v>142</v>
      </c>
      <c r="H15" s="16">
        <f>Tabla26[[#This Row],[P1 + P4]]*VLOOKUP(MONTH(Tabla26[[#This Row],[Fecha final]]),Tabla20[#All],2,FALSE)</f>
        <v>67</v>
      </c>
      <c r="I15" s="16">
        <f>Tabla26[[#This Row],[P2 + P5]]*VLOOKUP(MONTH(Tabla26[[#This Row],[Fecha final]]),Tabla20[#All],3,FALSE)</f>
        <v>1023</v>
      </c>
      <c r="J15" s="16">
        <f>(Tabla26[[#This Row],[P3 + P6]])*VLOOKUP(MONTH(Tabla26[[#This Row],[Fecha final]]),Tabla20[#All],4,FALSE)</f>
        <v>0</v>
      </c>
      <c r="K15" s="16">
        <f>Tabla26[[#This Row],[P1 + P4]]*VLOOKUP(MONTH(Tabla26[[#This Row],[Fecha final]]),Tabla20[#All],5,FALSE)</f>
        <v>0</v>
      </c>
      <c r="L15" s="16">
        <f>Tabla26[[#This Row],[P2 + P5]]*VLOOKUP(MONTH(Tabla26[[#This Row],[Fecha final]]),Tabla20[#All],6,FALSE)</f>
        <v>0</v>
      </c>
      <c r="M15" s="16">
        <f>Tabla26[[#This Row],[P3 + P6]]*VLOOKUP(MONTH(Tabla26[[#This Row],[Fecha final]]),Tabla20[#All],7,FALSE)</f>
        <v>142</v>
      </c>
      <c r="N15" s="16">
        <f>YEAR(Tabla26[[#This Row],[Fecha final]])</f>
        <v>2021</v>
      </c>
    </row>
    <row r="16" spans="1:14">
      <c r="A16" s="17">
        <v>44237</v>
      </c>
      <c r="B16" s="16" t="s">
        <v>354</v>
      </c>
      <c r="C16" s="16">
        <v>28</v>
      </c>
      <c r="D16" s="16" t="s">
        <v>42</v>
      </c>
      <c r="E16" s="16">
        <v>68</v>
      </c>
      <c r="F16" s="16">
        <v>753</v>
      </c>
      <c r="G16" s="16">
        <v>101</v>
      </c>
      <c r="H16" s="16">
        <f>Tabla26[[#This Row],[P1 + P4]]*VLOOKUP(MONTH(Tabla26[[#This Row],[Fecha final]]),Tabla20[#All],2,FALSE)</f>
        <v>0</v>
      </c>
      <c r="I16" s="16">
        <f>Tabla26[[#This Row],[P2 + P5]]*VLOOKUP(MONTH(Tabla26[[#This Row],[Fecha final]]),Tabla20[#All],3,FALSE)</f>
        <v>753</v>
      </c>
      <c r="J16" s="16">
        <f>(Tabla26[[#This Row],[P3 + P6]])*VLOOKUP(MONTH(Tabla26[[#This Row],[Fecha final]]),Tabla20[#All],4,FALSE)</f>
        <v>30.279800000000002</v>
      </c>
      <c r="K16" s="16">
        <f>Tabla26[[#This Row],[P1 + P4]]*VLOOKUP(MONTH(Tabla26[[#This Row],[Fecha final]]),Tabla20[#All],5,FALSE)</f>
        <v>0</v>
      </c>
      <c r="L16" s="16">
        <f>Tabla26[[#This Row],[P2 + P5]]*VLOOKUP(MONTH(Tabla26[[#This Row],[Fecha final]]),Tabla20[#All],6,FALSE)</f>
        <v>0</v>
      </c>
      <c r="M16" s="16">
        <f>Tabla26[[#This Row],[P3 + P6]]*VLOOKUP(MONTH(Tabla26[[#This Row],[Fecha final]]),Tabla20[#All],7,FALSE)</f>
        <v>70.720200000000006</v>
      </c>
      <c r="N16" s="16">
        <f>YEAR(Tabla26[[#This Row],[Fecha final]])</f>
        <v>2021</v>
      </c>
    </row>
    <row r="17" spans="1:14">
      <c r="A17" s="17">
        <v>44265</v>
      </c>
      <c r="B17" s="16" t="s">
        <v>353</v>
      </c>
      <c r="C17" s="16">
        <v>31</v>
      </c>
      <c r="D17" s="16" t="s">
        <v>42</v>
      </c>
      <c r="E17" s="16">
        <v>172</v>
      </c>
      <c r="F17" s="16">
        <v>703</v>
      </c>
      <c r="G17" s="16">
        <v>116</v>
      </c>
      <c r="H17" s="16">
        <f>Tabla26[[#This Row],[P1 + P4]]*VLOOKUP(MONTH(Tabla26[[#This Row],[Fecha final]]),Tabla20[#All],2,FALSE)</f>
        <v>0</v>
      </c>
      <c r="I17" s="16">
        <f>Tabla26[[#This Row],[P2 + P5]]*VLOOKUP(MONTH(Tabla26[[#This Row],[Fecha final]]),Tabla20[#All],3,FALSE)</f>
        <v>0</v>
      </c>
      <c r="J17" s="16">
        <f>(Tabla26[[#This Row],[P3 + P6]])*VLOOKUP(MONTH(Tabla26[[#This Row],[Fecha final]]),Tabla20[#All],4,FALSE)</f>
        <v>0</v>
      </c>
      <c r="K17" s="16">
        <f>Tabla26[[#This Row],[P1 + P4]]*VLOOKUP(MONTH(Tabla26[[#This Row],[Fecha final]]),Tabla20[#All],5,FALSE)</f>
        <v>172</v>
      </c>
      <c r="L17" s="16">
        <f>Tabla26[[#This Row],[P2 + P5]]*VLOOKUP(MONTH(Tabla26[[#This Row],[Fecha final]]),Tabla20[#All],6,FALSE)</f>
        <v>703</v>
      </c>
      <c r="M17" s="16">
        <f>Tabla26[[#This Row],[P3 + P6]]*VLOOKUP(MONTH(Tabla26[[#This Row],[Fecha final]]),Tabla20[#All],7,FALSE)</f>
        <v>116</v>
      </c>
      <c r="N17" s="16">
        <f>YEAR(Tabla26[[#This Row],[Fecha final]])</f>
        <v>2021</v>
      </c>
    </row>
    <row r="18" spans="1:14">
      <c r="A18" s="17">
        <v>44296</v>
      </c>
      <c r="B18" s="16" t="s">
        <v>352</v>
      </c>
      <c r="C18" s="16">
        <v>30</v>
      </c>
      <c r="D18" s="16" t="s">
        <v>42</v>
      </c>
      <c r="E18" s="16">
        <v>291</v>
      </c>
      <c r="F18" s="16">
        <v>487</v>
      </c>
      <c r="G18" s="16">
        <v>128</v>
      </c>
      <c r="H18" s="16">
        <f>Tabla26[[#This Row],[P1 + P4]]*VLOOKUP(MONTH(Tabla26[[#This Row],[Fecha final]]),Tabla20[#All],2,FALSE)</f>
        <v>0</v>
      </c>
      <c r="I18" s="16">
        <f>Tabla26[[#This Row],[P2 + P5]]*VLOOKUP(MONTH(Tabla26[[#This Row],[Fecha final]]),Tabla20[#All],3,FALSE)</f>
        <v>0</v>
      </c>
      <c r="J18" s="16">
        <f>(Tabla26[[#This Row],[P3 + P6]])*VLOOKUP(MONTH(Tabla26[[#This Row],[Fecha final]]),Tabla20[#All],4,FALSE)</f>
        <v>0</v>
      </c>
      <c r="K18" s="16">
        <f>Tabla26[[#This Row],[P1 + P4]]*VLOOKUP(MONTH(Tabla26[[#This Row],[Fecha final]]),Tabla20[#All],5,FALSE)</f>
        <v>291</v>
      </c>
      <c r="L18" s="16">
        <f>Tabla26[[#This Row],[P2 + P5]]*VLOOKUP(MONTH(Tabla26[[#This Row],[Fecha final]]),Tabla20[#All],6,FALSE)</f>
        <v>487</v>
      </c>
      <c r="M18" s="16">
        <f>Tabla26[[#This Row],[P3 + P6]]*VLOOKUP(MONTH(Tabla26[[#This Row],[Fecha final]]),Tabla20[#All],7,FALSE)</f>
        <v>128</v>
      </c>
      <c r="N18" s="16">
        <f>YEAR(Tabla26[[#This Row],[Fecha final]])</f>
        <v>2021</v>
      </c>
    </row>
    <row r="19" spans="1:14">
      <c r="A19" s="17">
        <v>44326</v>
      </c>
      <c r="B19" s="16" t="s">
        <v>51</v>
      </c>
      <c r="C19" s="16">
        <v>21</v>
      </c>
      <c r="D19" s="16" t="s">
        <v>42</v>
      </c>
      <c r="E19" s="16">
        <v>181</v>
      </c>
      <c r="F19" s="16">
        <v>297</v>
      </c>
      <c r="G19" s="16">
        <v>99</v>
      </c>
      <c r="H19" s="16">
        <f>Tabla26[[#This Row],[P1 + P4]]*VLOOKUP(MONTH(Tabla26[[#This Row],[Fecha final]]),Tabla20[#All],2,FALSE)</f>
        <v>0</v>
      </c>
      <c r="I19" s="16">
        <f>Tabla26[[#This Row],[P2 + P5]]*VLOOKUP(MONTH(Tabla26[[#This Row],[Fecha final]]),Tabla20[#All],3,FALSE)</f>
        <v>0</v>
      </c>
      <c r="J19" s="16">
        <f>(Tabla26[[#This Row],[P3 + P6]])*VLOOKUP(MONTH(Tabla26[[#This Row],[Fecha final]]),Tabla20[#All],4,FALSE)</f>
        <v>0</v>
      </c>
      <c r="K19" s="16">
        <f>Tabla26[[#This Row],[P1 + P4]]*VLOOKUP(MONTH(Tabla26[[#This Row],[Fecha final]]),Tabla20[#All],5,FALSE)</f>
        <v>181</v>
      </c>
      <c r="L19" s="16">
        <f>Tabla26[[#This Row],[P2 + P5]]*VLOOKUP(MONTH(Tabla26[[#This Row],[Fecha final]]),Tabla20[#All],6,FALSE)</f>
        <v>297</v>
      </c>
      <c r="M19" s="16">
        <f>Tabla26[[#This Row],[P3 + P6]]*VLOOKUP(MONTH(Tabla26[[#This Row],[Fecha final]]),Tabla20[#All],7,FALSE)</f>
        <v>99</v>
      </c>
      <c r="N19" s="16">
        <f>YEAR(Tabla26[[#This Row],[Fecha final]])</f>
        <v>2021</v>
      </c>
    </row>
    <row r="20" spans="1:14">
      <c r="A20" s="17">
        <v>44347</v>
      </c>
      <c r="B20" s="16" t="s">
        <v>52</v>
      </c>
      <c r="C20" s="16">
        <v>30</v>
      </c>
      <c r="D20" s="16" t="s">
        <v>42</v>
      </c>
      <c r="E20" s="16">
        <v>102</v>
      </c>
      <c r="F20" s="16">
        <v>0</v>
      </c>
      <c r="G20" s="16">
        <v>391</v>
      </c>
      <c r="H20" s="16">
        <f>Tabla26[[#This Row],[P1 + P4]]*VLOOKUP(MONTH(Tabla26[[#This Row],[Fecha final]]),Tabla20[#All],2,FALSE)</f>
        <v>0</v>
      </c>
      <c r="I20" s="16">
        <f>Tabla26[[#This Row],[P2 + P5]]*VLOOKUP(MONTH(Tabla26[[#This Row],[Fecha final]]),Tabla20[#All],3,FALSE)</f>
        <v>0</v>
      </c>
      <c r="J20" s="16">
        <f>(Tabla26[[#This Row],[P3 + P6]])*VLOOKUP(MONTH(Tabla26[[#This Row],[Fecha final]]),Tabla20[#All],4,FALSE)</f>
        <v>136.77180000000001</v>
      </c>
      <c r="K20" s="16">
        <f>Tabla26[[#This Row],[P1 + P4]]*VLOOKUP(MONTH(Tabla26[[#This Row],[Fecha final]]),Tabla20[#All],5,FALSE)</f>
        <v>102</v>
      </c>
      <c r="L20" s="16">
        <f>Tabla26[[#This Row],[P2 + P5]]*VLOOKUP(MONTH(Tabla26[[#This Row],[Fecha final]]),Tabla20[#All],6,FALSE)</f>
        <v>0</v>
      </c>
      <c r="M20" s="16">
        <f>Tabla26[[#This Row],[P3 + P6]]*VLOOKUP(MONTH(Tabla26[[#This Row],[Fecha final]]),Tabla20[#All],7,FALSE)</f>
        <v>254.22819999999999</v>
      </c>
      <c r="N20" s="16">
        <f>YEAR(Tabla26[[#This Row],[Fecha final]])</f>
        <v>2021</v>
      </c>
    </row>
    <row r="21" spans="1:14">
      <c r="A21" s="17">
        <v>44377</v>
      </c>
      <c r="B21" s="16" t="s">
        <v>53</v>
      </c>
      <c r="C21" s="16">
        <v>31</v>
      </c>
      <c r="D21" s="16" t="s">
        <v>42</v>
      </c>
      <c r="E21" s="16">
        <v>183</v>
      </c>
      <c r="F21" s="16">
        <v>97</v>
      </c>
      <c r="G21" s="16">
        <v>181</v>
      </c>
      <c r="H21" s="16">
        <f>Tabla26[[#This Row],[P1 + P4]]*VLOOKUP(MONTH(Tabla26[[#This Row],[Fecha final]]),Tabla20[#All],2,FALSE)</f>
        <v>183</v>
      </c>
      <c r="I21" s="16">
        <f>Tabla26[[#This Row],[P2 + P5]]*VLOOKUP(MONTH(Tabla26[[#This Row],[Fecha final]]),Tabla20[#All],3,FALSE)</f>
        <v>97</v>
      </c>
      <c r="J21" s="16">
        <f>(Tabla26[[#This Row],[P3 + P6]])*VLOOKUP(MONTH(Tabla26[[#This Row],[Fecha final]]),Tabla20[#All],4,FALSE)</f>
        <v>0</v>
      </c>
      <c r="K21" s="16">
        <f>Tabla26[[#This Row],[P1 + P4]]*VLOOKUP(MONTH(Tabla26[[#This Row],[Fecha final]]),Tabla20[#All],5,FALSE)</f>
        <v>0</v>
      </c>
      <c r="L21" s="16">
        <f>Tabla26[[#This Row],[P2 + P5]]*VLOOKUP(MONTH(Tabla26[[#This Row],[Fecha final]]),Tabla20[#All],6,FALSE)</f>
        <v>0</v>
      </c>
      <c r="M21" s="16">
        <f>Tabla26[[#This Row],[P3 + P6]]*VLOOKUP(MONTH(Tabla26[[#This Row],[Fecha final]]),Tabla20[#All],7,FALSE)</f>
        <v>181</v>
      </c>
      <c r="N21" s="16">
        <f>YEAR(Tabla26[[#This Row],[Fecha final]])</f>
        <v>2021</v>
      </c>
    </row>
    <row r="22" spans="1:14">
      <c r="A22" s="17">
        <v>44408</v>
      </c>
      <c r="B22" s="16" t="s">
        <v>54</v>
      </c>
      <c r="C22" s="16">
        <v>31</v>
      </c>
      <c r="D22" s="16" t="s">
        <v>42</v>
      </c>
      <c r="E22" s="16">
        <v>94</v>
      </c>
      <c r="F22" s="16">
        <v>0</v>
      </c>
      <c r="G22" s="16">
        <v>359</v>
      </c>
      <c r="H22" s="16">
        <f>Tabla26[[#This Row],[P1 + P4]]*VLOOKUP(MONTH(Tabla26[[#This Row],[Fecha final]]),Tabla20[#All],2,FALSE)</f>
        <v>0</v>
      </c>
      <c r="I22" s="16">
        <f>Tabla26[[#This Row],[P2 + P5]]*VLOOKUP(MONTH(Tabla26[[#This Row],[Fecha final]]),Tabla20[#All],3,FALSE)</f>
        <v>0</v>
      </c>
      <c r="J22" s="16">
        <f>(Tabla26[[#This Row],[P3 + P6]])*VLOOKUP(MONTH(Tabla26[[#This Row],[Fecha final]]),Tabla20[#All],4,FALSE)</f>
        <v>120.4804</v>
      </c>
      <c r="K22" s="16">
        <f>Tabla26[[#This Row],[P1 + P4]]*VLOOKUP(MONTH(Tabla26[[#This Row],[Fecha final]]),Tabla20[#All],5,FALSE)</f>
        <v>94</v>
      </c>
      <c r="L22" s="16">
        <f>Tabla26[[#This Row],[P2 + P5]]*VLOOKUP(MONTH(Tabla26[[#This Row],[Fecha final]]),Tabla20[#All],6,FALSE)</f>
        <v>0</v>
      </c>
      <c r="M22" s="16">
        <f>Tabla26[[#This Row],[P3 + P6]]*VLOOKUP(MONTH(Tabla26[[#This Row],[Fecha final]]),Tabla20[#All],7,FALSE)</f>
        <v>238.5196</v>
      </c>
      <c r="N22" s="16">
        <f>YEAR(Tabla26[[#This Row],[Fecha final]])</f>
        <v>2021</v>
      </c>
    </row>
    <row r="23" spans="1:14">
      <c r="A23" s="17">
        <v>44439</v>
      </c>
      <c r="B23" s="16" t="s">
        <v>55</v>
      </c>
      <c r="C23" s="16">
        <v>30</v>
      </c>
      <c r="D23" s="16" t="s">
        <v>42</v>
      </c>
      <c r="E23" s="16">
        <v>128</v>
      </c>
      <c r="F23" s="16">
        <v>0</v>
      </c>
      <c r="G23" s="16">
        <v>361</v>
      </c>
      <c r="H23" s="16">
        <f>Tabla26[[#This Row],[P1 + P4]]*VLOOKUP(MONTH(Tabla26[[#This Row],[Fecha final]]),Tabla20[#All],2,FALSE)</f>
        <v>0</v>
      </c>
      <c r="I23" s="16">
        <f>Tabla26[[#This Row],[P2 + P5]]*VLOOKUP(MONTH(Tabla26[[#This Row],[Fecha final]]),Tabla20[#All],3,FALSE)</f>
        <v>0</v>
      </c>
      <c r="J23" s="16">
        <f>(Tabla26[[#This Row],[P3 + P6]])*VLOOKUP(MONTH(Tabla26[[#This Row],[Fecha final]]),Tabla20[#All],4,FALSE)</f>
        <v>126.2778</v>
      </c>
      <c r="K23" s="16">
        <f>Tabla26[[#This Row],[P1 + P4]]*VLOOKUP(MONTH(Tabla26[[#This Row],[Fecha final]]),Tabla20[#All],5,FALSE)</f>
        <v>128</v>
      </c>
      <c r="L23" s="16">
        <f>Tabla26[[#This Row],[P2 + P5]]*VLOOKUP(MONTH(Tabla26[[#This Row],[Fecha final]]),Tabla20[#All],6,FALSE)</f>
        <v>0</v>
      </c>
      <c r="M23" s="16">
        <f>Tabla26[[#This Row],[P3 + P6]]*VLOOKUP(MONTH(Tabla26[[#This Row],[Fecha final]]),Tabla20[#All],7,FALSE)</f>
        <v>234.72219999999999</v>
      </c>
      <c r="N23" s="16">
        <f>YEAR(Tabla26[[#This Row],[Fecha final]])</f>
        <v>2021</v>
      </c>
    </row>
    <row r="24" spans="1:14">
      <c r="A24" s="17">
        <v>44469</v>
      </c>
      <c r="B24" s="16" t="s">
        <v>57</v>
      </c>
      <c r="C24" s="16">
        <v>31</v>
      </c>
      <c r="D24" s="16" t="s">
        <v>42</v>
      </c>
      <c r="E24" s="16">
        <v>247</v>
      </c>
      <c r="F24" s="16">
        <v>141</v>
      </c>
      <c r="G24" s="16">
        <v>196</v>
      </c>
      <c r="H24" s="16">
        <f>Tabla26[[#This Row],[P1 + P4]]*VLOOKUP(MONTH(Tabla26[[#This Row],[Fecha final]]),Tabla20[#All],2,FALSE)</f>
        <v>0</v>
      </c>
      <c r="I24" s="16">
        <f>Tabla26[[#This Row],[P2 + P5]]*VLOOKUP(MONTH(Tabla26[[#This Row],[Fecha final]]),Tabla20[#All],3,FALSE)</f>
        <v>0</v>
      </c>
      <c r="J24" s="16">
        <f>(Tabla26[[#This Row],[P3 + P6]])*VLOOKUP(MONTH(Tabla26[[#This Row],[Fecha final]]),Tabla20[#All],4,FALSE)</f>
        <v>0</v>
      </c>
      <c r="K24" s="16">
        <f>Tabla26[[#This Row],[P1 + P4]]*VLOOKUP(MONTH(Tabla26[[#This Row],[Fecha final]]),Tabla20[#All],5,FALSE)</f>
        <v>247</v>
      </c>
      <c r="L24" s="16">
        <f>Tabla26[[#This Row],[P2 + P5]]*VLOOKUP(MONTH(Tabla26[[#This Row],[Fecha final]]),Tabla20[#All],6,FALSE)</f>
        <v>141</v>
      </c>
      <c r="M24" s="16">
        <f>Tabla26[[#This Row],[P3 + P6]]*VLOOKUP(MONTH(Tabla26[[#This Row],[Fecha final]]),Tabla20[#All],7,FALSE)</f>
        <v>196</v>
      </c>
      <c r="N24" s="16">
        <f>YEAR(Tabla26[[#This Row],[Fecha final]])</f>
        <v>2021</v>
      </c>
    </row>
    <row r="25" spans="1:14">
      <c r="A25" s="17">
        <v>44500</v>
      </c>
      <c r="B25" s="16" t="s">
        <v>58</v>
      </c>
      <c r="C25" s="16">
        <v>30</v>
      </c>
      <c r="D25" s="16" t="s">
        <v>42</v>
      </c>
      <c r="E25" s="16">
        <v>0</v>
      </c>
      <c r="F25" s="16">
        <v>521</v>
      </c>
      <c r="G25" s="16">
        <v>478</v>
      </c>
      <c r="H25" s="16">
        <f>Tabla26[[#This Row],[P1 + P4]]*VLOOKUP(MONTH(Tabla26[[#This Row],[Fecha final]]),Tabla20[#All],2,FALSE)</f>
        <v>0</v>
      </c>
      <c r="I25" s="16">
        <f>Tabla26[[#This Row],[P2 + P5]]*VLOOKUP(MONTH(Tabla26[[#This Row],[Fecha final]]),Tabla20[#All],3,FALSE)</f>
        <v>521</v>
      </c>
      <c r="J25" s="16">
        <f>(Tabla26[[#This Row],[P3 + P6]])*VLOOKUP(MONTH(Tabla26[[#This Row],[Fecha final]]),Tabla20[#All],4,FALSE)</f>
        <v>132.31039999999999</v>
      </c>
      <c r="K25" s="16">
        <f>Tabla26[[#This Row],[P1 + P4]]*VLOOKUP(MONTH(Tabla26[[#This Row],[Fecha final]]),Tabla20[#All],5,FALSE)</f>
        <v>0</v>
      </c>
      <c r="L25" s="16">
        <f>Tabla26[[#This Row],[P2 + P5]]*VLOOKUP(MONTH(Tabla26[[#This Row],[Fecha final]]),Tabla20[#All],6,FALSE)</f>
        <v>0</v>
      </c>
      <c r="M25" s="16">
        <f>Tabla26[[#This Row],[P3 + P6]]*VLOOKUP(MONTH(Tabla26[[#This Row],[Fecha final]]),Tabla20[#All],7,FALSE)</f>
        <v>345.68959999999998</v>
      </c>
      <c r="N25" s="16">
        <f>YEAR(Tabla26[[#This Row],[Fecha final]])</f>
        <v>2021</v>
      </c>
    </row>
    <row r="26" spans="1:14">
      <c r="A26" s="17">
        <v>44530</v>
      </c>
      <c r="B26" s="16" t="s">
        <v>59</v>
      </c>
      <c r="C26" s="16">
        <v>2</v>
      </c>
      <c r="D26" s="16" t="s">
        <v>42</v>
      </c>
      <c r="E26" s="16">
        <v>53</v>
      </c>
      <c r="F26" s="16">
        <v>35</v>
      </c>
      <c r="G26" s="16">
        <v>11</v>
      </c>
      <c r="H26" s="16">
        <f>Tabla26[[#This Row],[P1 + P4]]*VLOOKUP(MONTH(Tabla26[[#This Row],[Fecha final]]),Tabla20[#All],2,FALSE)</f>
        <v>53</v>
      </c>
      <c r="I26" s="16">
        <f>Tabla26[[#This Row],[P2 + P5]]*VLOOKUP(MONTH(Tabla26[[#This Row],[Fecha final]]),Tabla20[#All],3,FALSE)</f>
        <v>35</v>
      </c>
      <c r="J26" s="16">
        <f>(Tabla26[[#This Row],[P3 + P6]])*VLOOKUP(MONTH(Tabla26[[#This Row],[Fecha final]]),Tabla20[#All],4,FALSE)</f>
        <v>0</v>
      </c>
      <c r="K26" s="16">
        <f>Tabla26[[#This Row],[P1 + P4]]*VLOOKUP(MONTH(Tabla26[[#This Row],[Fecha final]]),Tabla20[#All],5,FALSE)</f>
        <v>0</v>
      </c>
      <c r="L26" s="16">
        <f>Tabla26[[#This Row],[P2 + P5]]*VLOOKUP(MONTH(Tabla26[[#This Row],[Fecha final]]),Tabla20[#All],6,FALSE)</f>
        <v>0</v>
      </c>
      <c r="M26" s="16">
        <f>Tabla26[[#This Row],[P3 + P6]]*VLOOKUP(MONTH(Tabla26[[#This Row],[Fecha final]]),Tabla20[#All],7,FALSE)</f>
        <v>11</v>
      </c>
      <c r="N26" s="16">
        <f>YEAR(Tabla26[[#This Row],[Fecha final]])</f>
        <v>2021</v>
      </c>
    </row>
    <row r="27" spans="1:14">
      <c r="A27" s="17">
        <v>44532</v>
      </c>
      <c r="B27" s="16" t="s">
        <v>60</v>
      </c>
      <c r="C27" s="16">
        <v>29</v>
      </c>
      <c r="D27" s="16" t="s">
        <v>42</v>
      </c>
      <c r="E27" s="16">
        <v>370</v>
      </c>
      <c r="F27" s="16">
        <v>237</v>
      </c>
      <c r="G27" s="16">
        <v>213</v>
      </c>
      <c r="H27" s="16">
        <f>Tabla26[[#This Row],[P1 + P4]]*VLOOKUP(MONTH(Tabla26[[#This Row],[Fecha final]]),Tabla20[#All],2,FALSE)</f>
        <v>370</v>
      </c>
      <c r="I27" s="16">
        <f>Tabla26[[#This Row],[P2 + P5]]*VLOOKUP(MONTH(Tabla26[[#This Row],[Fecha final]]),Tabla20[#All],3,FALSE)</f>
        <v>237</v>
      </c>
      <c r="J27" s="16">
        <f>(Tabla26[[#This Row],[P3 + P6]])*VLOOKUP(MONTH(Tabla26[[#This Row],[Fecha final]]),Tabla20[#All],4,FALSE)</f>
        <v>0</v>
      </c>
      <c r="K27" s="16">
        <f>Tabla26[[#This Row],[P1 + P4]]*VLOOKUP(MONTH(Tabla26[[#This Row],[Fecha final]]),Tabla20[#All],5,FALSE)</f>
        <v>0</v>
      </c>
      <c r="L27" s="16">
        <f>Tabla26[[#This Row],[P2 + P5]]*VLOOKUP(MONTH(Tabla26[[#This Row],[Fecha final]]),Tabla20[#All],6,FALSE)</f>
        <v>0</v>
      </c>
      <c r="M27" s="16">
        <f>Tabla26[[#This Row],[P3 + P6]]*VLOOKUP(MONTH(Tabla26[[#This Row],[Fecha final]]),Tabla20[#All],7,FALSE)</f>
        <v>213</v>
      </c>
      <c r="N27" s="16">
        <f>YEAR(Tabla26[[#This Row],[Fecha final]])</f>
        <v>2021</v>
      </c>
    </row>
    <row r="28" spans="1:14">
      <c r="A28" s="17">
        <v>44561</v>
      </c>
      <c r="B28" s="16" t="s">
        <v>61</v>
      </c>
      <c r="C28" s="16">
        <v>31</v>
      </c>
      <c r="D28" s="16" t="s">
        <v>42</v>
      </c>
      <c r="E28" s="16">
        <v>380</v>
      </c>
      <c r="F28" s="16">
        <v>198</v>
      </c>
      <c r="G28" s="16">
        <v>206</v>
      </c>
      <c r="H28" s="16">
        <f>Tabla26[[#This Row],[P1 + P4]]*VLOOKUP(MONTH(Tabla26[[#This Row],[Fecha final]]),Tabla20[#All],2,FALSE)</f>
        <v>380</v>
      </c>
      <c r="I28" s="16">
        <f>Tabla26[[#This Row],[P2 + P5]]*VLOOKUP(MONTH(Tabla26[[#This Row],[Fecha final]]),Tabla20[#All],3,FALSE)</f>
        <v>198</v>
      </c>
      <c r="J28" s="16">
        <f>(Tabla26[[#This Row],[P3 + P6]])*VLOOKUP(MONTH(Tabla26[[#This Row],[Fecha final]]),Tabla20[#All],4,FALSE)</f>
        <v>0</v>
      </c>
      <c r="K28" s="16">
        <f>Tabla26[[#This Row],[P1 + P4]]*VLOOKUP(MONTH(Tabla26[[#This Row],[Fecha final]]),Tabla20[#All],5,FALSE)</f>
        <v>0</v>
      </c>
      <c r="L28" s="16">
        <f>Tabla26[[#This Row],[P2 + P5]]*VLOOKUP(MONTH(Tabla26[[#This Row],[Fecha final]]),Tabla20[#All],6,FALSE)</f>
        <v>0</v>
      </c>
      <c r="M28" s="16">
        <f>Tabla26[[#This Row],[P3 + P6]]*VLOOKUP(MONTH(Tabla26[[#This Row],[Fecha final]]),Tabla20[#All],7,FALSE)</f>
        <v>206</v>
      </c>
      <c r="N28" s="16">
        <f>YEAR(Tabla26[[#This Row],[Fecha final]])</f>
        <v>2022</v>
      </c>
    </row>
    <row r="29" spans="1:14">
      <c r="A29" s="17">
        <v>44592</v>
      </c>
      <c r="B29" s="16" t="s">
        <v>62</v>
      </c>
      <c r="C29" s="16">
        <v>28</v>
      </c>
      <c r="D29" s="16" t="s">
        <v>42</v>
      </c>
      <c r="E29" s="16">
        <v>544</v>
      </c>
      <c r="F29" s="16">
        <v>328</v>
      </c>
      <c r="G29" s="16">
        <v>230</v>
      </c>
      <c r="H29" s="16">
        <f>Tabla26[[#This Row],[P1 + P4]]*VLOOKUP(MONTH(Tabla26[[#This Row],[Fecha final]]),Tabla20[#All],2,FALSE)</f>
        <v>544</v>
      </c>
      <c r="I29" s="16">
        <f>Tabla26[[#This Row],[P2 + P5]]*VLOOKUP(MONTH(Tabla26[[#This Row],[Fecha final]]),Tabla20[#All],3,FALSE)</f>
        <v>328</v>
      </c>
      <c r="J29" s="16">
        <f>(Tabla26[[#This Row],[P3 + P6]])*VLOOKUP(MONTH(Tabla26[[#This Row],[Fecha final]]),Tabla20[#All],4,FALSE)</f>
        <v>0</v>
      </c>
      <c r="K29" s="16">
        <f>Tabla26[[#This Row],[P1 + P4]]*VLOOKUP(MONTH(Tabla26[[#This Row],[Fecha final]]),Tabla20[#All],5,FALSE)</f>
        <v>0</v>
      </c>
      <c r="L29" s="16">
        <f>Tabla26[[#This Row],[P2 + P5]]*VLOOKUP(MONTH(Tabla26[[#This Row],[Fecha final]]),Tabla20[#All],6,FALSE)</f>
        <v>0</v>
      </c>
      <c r="M29" s="16">
        <f>Tabla26[[#This Row],[P3 + P6]]*VLOOKUP(MONTH(Tabla26[[#This Row],[Fecha final]]),Tabla20[#All],7,FALSE)</f>
        <v>230</v>
      </c>
      <c r="N29" s="16">
        <f>YEAR(Tabla26[[#This Row],[Fecha final]])</f>
        <v>2022</v>
      </c>
    </row>
    <row r="30" spans="1:14">
      <c r="A30" s="17">
        <v>44620</v>
      </c>
      <c r="B30" s="16" t="s">
        <v>63</v>
      </c>
      <c r="C30" s="16">
        <v>31</v>
      </c>
      <c r="D30" s="16" t="s">
        <v>42</v>
      </c>
      <c r="E30" s="16">
        <v>0</v>
      </c>
      <c r="F30" s="16">
        <v>556</v>
      </c>
      <c r="G30" s="16">
        <v>491</v>
      </c>
      <c r="H30" s="16">
        <f>Tabla26[[#This Row],[P1 + P4]]*VLOOKUP(MONTH(Tabla26[[#This Row],[Fecha final]]),Tabla20[#All],2,FALSE)</f>
        <v>0</v>
      </c>
      <c r="I30" s="16">
        <f>Tabla26[[#This Row],[P2 + P5]]*VLOOKUP(MONTH(Tabla26[[#This Row],[Fecha final]]),Tabla20[#All],3,FALSE)</f>
        <v>556</v>
      </c>
      <c r="J30" s="16">
        <f>(Tabla26[[#This Row],[P3 + P6]])*VLOOKUP(MONTH(Tabla26[[#This Row],[Fecha final]]),Tabla20[#All],4,FALSE)</f>
        <v>147.20179999999999</v>
      </c>
      <c r="K30" s="16">
        <f>Tabla26[[#This Row],[P1 + P4]]*VLOOKUP(MONTH(Tabla26[[#This Row],[Fecha final]]),Tabla20[#All],5,FALSE)</f>
        <v>0</v>
      </c>
      <c r="L30" s="16">
        <f>Tabla26[[#This Row],[P2 + P5]]*VLOOKUP(MONTH(Tabla26[[#This Row],[Fecha final]]),Tabla20[#All],6,FALSE)</f>
        <v>0</v>
      </c>
      <c r="M30" s="16">
        <f>Tabla26[[#This Row],[P3 + P6]]*VLOOKUP(MONTH(Tabla26[[#This Row],[Fecha final]]),Tabla20[#All],7,FALSE)</f>
        <v>343.79820000000001</v>
      </c>
      <c r="N30" s="16">
        <f>YEAR(Tabla26[[#This Row],[Fecha final]])</f>
        <v>2022</v>
      </c>
    </row>
    <row r="31" spans="1:14">
      <c r="A31" s="17">
        <v>44651</v>
      </c>
      <c r="B31" s="16" t="s">
        <v>65</v>
      </c>
      <c r="C31" s="16">
        <v>30</v>
      </c>
      <c r="D31" s="16" t="s">
        <v>42</v>
      </c>
      <c r="E31" s="16">
        <v>448</v>
      </c>
      <c r="F31" s="16">
        <v>261</v>
      </c>
      <c r="G31" s="16">
        <v>223</v>
      </c>
      <c r="H31" s="16">
        <f>Tabla26[[#This Row],[P1 + P4]]*VLOOKUP(MONTH(Tabla26[[#This Row],[Fecha final]]),Tabla20[#All],2,FALSE)</f>
        <v>0</v>
      </c>
      <c r="I31" s="16">
        <f>Tabla26[[#This Row],[P2 + P5]]*VLOOKUP(MONTH(Tabla26[[#This Row],[Fecha final]]),Tabla20[#All],3,FALSE)</f>
        <v>0</v>
      </c>
      <c r="J31" s="16">
        <f>(Tabla26[[#This Row],[P3 + P6]])*VLOOKUP(MONTH(Tabla26[[#This Row],[Fecha final]]),Tabla20[#All],4,FALSE)</f>
        <v>0</v>
      </c>
      <c r="K31" s="16">
        <f>Tabla26[[#This Row],[P1 + P4]]*VLOOKUP(MONTH(Tabla26[[#This Row],[Fecha final]]),Tabla20[#All],5,FALSE)</f>
        <v>448</v>
      </c>
      <c r="L31" s="16">
        <f>Tabla26[[#This Row],[P2 + P5]]*VLOOKUP(MONTH(Tabla26[[#This Row],[Fecha final]]),Tabla20[#All],6,FALSE)</f>
        <v>261</v>
      </c>
      <c r="M31" s="16">
        <f>Tabla26[[#This Row],[P3 + P6]]*VLOOKUP(MONTH(Tabla26[[#This Row],[Fecha final]]),Tabla20[#All],7,FALSE)</f>
        <v>223</v>
      </c>
      <c r="N31" s="16">
        <f>YEAR(Tabla26[[#This Row],[Fecha final]])</f>
        <v>2022</v>
      </c>
    </row>
    <row r="32" spans="1:14">
      <c r="A32" s="17">
        <v>44681</v>
      </c>
      <c r="B32" s="16" t="s">
        <v>66</v>
      </c>
      <c r="C32" s="16">
        <v>31</v>
      </c>
      <c r="D32" s="16" t="s">
        <v>42</v>
      </c>
      <c r="E32" s="16">
        <v>220</v>
      </c>
      <c r="F32" s="16">
        <v>137</v>
      </c>
      <c r="G32" s="16">
        <v>182</v>
      </c>
      <c r="H32" s="16">
        <f>Tabla26[[#This Row],[P1 + P4]]*VLOOKUP(MONTH(Tabla26[[#This Row],[Fecha final]]),Tabla20[#All],2,FALSE)</f>
        <v>0</v>
      </c>
      <c r="I32" s="16">
        <f>Tabla26[[#This Row],[P2 + P5]]*VLOOKUP(MONTH(Tabla26[[#This Row],[Fecha final]]),Tabla20[#All],3,FALSE)</f>
        <v>0</v>
      </c>
      <c r="J32" s="16">
        <f>(Tabla26[[#This Row],[P3 + P6]])*VLOOKUP(MONTH(Tabla26[[#This Row],[Fecha final]]),Tabla20[#All],4,FALSE)</f>
        <v>0</v>
      </c>
      <c r="K32" s="16">
        <f>Tabla26[[#This Row],[P1 + P4]]*VLOOKUP(MONTH(Tabla26[[#This Row],[Fecha final]]),Tabla20[#All],5,FALSE)</f>
        <v>220</v>
      </c>
      <c r="L32" s="16">
        <f>Tabla26[[#This Row],[P2 + P5]]*VLOOKUP(MONTH(Tabla26[[#This Row],[Fecha final]]),Tabla20[#All],6,FALSE)</f>
        <v>137</v>
      </c>
      <c r="M32" s="16">
        <f>Tabla26[[#This Row],[P3 + P6]]*VLOOKUP(MONTH(Tabla26[[#This Row],[Fecha final]]),Tabla20[#All],7,FALSE)</f>
        <v>182</v>
      </c>
      <c r="N32" s="16">
        <f>YEAR(Tabla26[[#This Row],[Fecha final]])</f>
        <v>2022</v>
      </c>
    </row>
    <row r="33" spans="1:14">
      <c r="A33" s="17">
        <v>44712</v>
      </c>
      <c r="B33" s="16" t="s">
        <v>67</v>
      </c>
      <c r="C33" s="16">
        <v>30</v>
      </c>
      <c r="D33" s="16" t="s">
        <v>42</v>
      </c>
      <c r="E33" s="16">
        <v>132</v>
      </c>
      <c r="F33" s="16">
        <v>0</v>
      </c>
      <c r="G33" s="16">
        <v>372</v>
      </c>
      <c r="H33" s="16">
        <f>Tabla26[[#This Row],[P1 + P4]]*VLOOKUP(MONTH(Tabla26[[#This Row],[Fecha final]]),Tabla20[#All],2,FALSE)</f>
        <v>0</v>
      </c>
      <c r="I33" s="16">
        <f>Tabla26[[#This Row],[P2 + P5]]*VLOOKUP(MONTH(Tabla26[[#This Row],[Fecha final]]),Tabla20[#All],3,FALSE)</f>
        <v>0</v>
      </c>
      <c r="J33" s="16">
        <f>(Tabla26[[#This Row],[P3 + P6]])*VLOOKUP(MONTH(Tabla26[[#This Row],[Fecha final]]),Tabla20[#All],4,FALSE)</f>
        <v>130.12559999999999</v>
      </c>
      <c r="K33" s="16">
        <f>Tabla26[[#This Row],[P1 + P4]]*VLOOKUP(MONTH(Tabla26[[#This Row],[Fecha final]]),Tabla20[#All],5,FALSE)</f>
        <v>132</v>
      </c>
      <c r="L33" s="16">
        <f>Tabla26[[#This Row],[P2 + P5]]*VLOOKUP(MONTH(Tabla26[[#This Row],[Fecha final]]),Tabla20[#All],6,FALSE)</f>
        <v>0</v>
      </c>
      <c r="M33" s="16">
        <f>Tabla26[[#This Row],[P3 + P6]]*VLOOKUP(MONTH(Tabla26[[#This Row],[Fecha final]]),Tabla20[#All],7,FALSE)</f>
        <v>241.87440000000001</v>
      </c>
      <c r="N33" s="16">
        <f>YEAR(Tabla26[[#This Row],[Fecha final]])</f>
        <v>2022</v>
      </c>
    </row>
    <row r="34" spans="1:14">
      <c r="A34" s="17">
        <v>44742</v>
      </c>
      <c r="B34" s="16" t="s">
        <v>68</v>
      </c>
      <c r="C34" s="16">
        <v>31</v>
      </c>
      <c r="D34" s="16" t="s">
        <v>42</v>
      </c>
      <c r="E34" s="16">
        <v>207</v>
      </c>
      <c r="F34" s="16">
        <v>126</v>
      </c>
      <c r="G34" s="16">
        <v>202</v>
      </c>
      <c r="H34" s="16">
        <f>Tabla26[[#This Row],[P1 + P4]]*VLOOKUP(MONTH(Tabla26[[#This Row],[Fecha final]]),Tabla20[#All],2,FALSE)</f>
        <v>207</v>
      </c>
      <c r="I34" s="16">
        <f>Tabla26[[#This Row],[P2 + P5]]*VLOOKUP(MONTH(Tabla26[[#This Row],[Fecha final]]),Tabla20[#All],3,FALSE)</f>
        <v>126</v>
      </c>
      <c r="J34" s="16">
        <f>(Tabla26[[#This Row],[P3 + P6]])*VLOOKUP(MONTH(Tabla26[[#This Row],[Fecha final]]),Tabla20[#All],4,FALSE)</f>
        <v>0</v>
      </c>
      <c r="K34" s="16">
        <f>Tabla26[[#This Row],[P1 + P4]]*VLOOKUP(MONTH(Tabla26[[#This Row],[Fecha final]]),Tabla20[#All],5,FALSE)</f>
        <v>0</v>
      </c>
      <c r="L34" s="16">
        <f>Tabla26[[#This Row],[P2 + P5]]*VLOOKUP(MONTH(Tabla26[[#This Row],[Fecha final]]),Tabla20[#All],6,FALSE)</f>
        <v>0</v>
      </c>
      <c r="M34" s="16">
        <f>Tabla26[[#This Row],[P3 + P6]]*VLOOKUP(MONTH(Tabla26[[#This Row],[Fecha final]]),Tabla20[#All],7,FALSE)</f>
        <v>202</v>
      </c>
      <c r="N34" s="16">
        <f>YEAR(Tabla26[[#This Row],[Fecha final]])</f>
        <v>2022</v>
      </c>
    </row>
    <row r="35" spans="1:14">
      <c r="A35" s="17">
        <v>44773</v>
      </c>
      <c r="B35" s="16" t="s">
        <v>69</v>
      </c>
      <c r="C35" s="16">
        <v>31</v>
      </c>
      <c r="D35" s="16" t="s">
        <v>42</v>
      </c>
      <c r="E35" s="16">
        <v>132</v>
      </c>
      <c r="F35" s="16">
        <v>0</v>
      </c>
      <c r="G35" s="16">
        <v>393</v>
      </c>
      <c r="H35" s="16">
        <f>Tabla26[[#This Row],[P1 + P4]]*VLOOKUP(MONTH(Tabla26[[#This Row],[Fecha final]]),Tabla20[#All],2,FALSE)</f>
        <v>0</v>
      </c>
      <c r="I35" s="16">
        <f>Tabla26[[#This Row],[P2 + P5]]*VLOOKUP(MONTH(Tabla26[[#This Row],[Fecha final]]),Tabla20[#All],3,FALSE)</f>
        <v>0</v>
      </c>
      <c r="J35" s="16">
        <f>(Tabla26[[#This Row],[P3 + P6]])*VLOOKUP(MONTH(Tabla26[[#This Row],[Fecha final]]),Tabla20[#All],4,FALSE)</f>
        <v>131.89080000000001</v>
      </c>
      <c r="K35" s="16">
        <f>Tabla26[[#This Row],[P1 + P4]]*VLOOKUP(MONTH(Tabla26[[#This Row],[Fecha final]]),Tabla20[#All],5,FALSE)</f>
        <v>132</v>
      </c>
      <c r="L35" s="16">
        <f>Tabla26[[#This Row],[P2 + P5]]*VLOOKUP(MONTH(Tabla26[[#This Row],[Fecha final]]),Tabla20[#All],6,FALSE)</f>
        <v>0</v>
      </c>
      <c r="M35" s="16">
        <f>Tabla26[[#This Row],[P3 + P6]]*VLOOKUP(MONTH(Tabla26[[#This Row],[Fecha final]]),Tabla20[#All],7,FALSE)</f>
        <v>261.10919999999999</v>
      </c>
      <c r="N35" s="16">
        <f>YEAR(Tabla26[[#This Row],[Fecha final]])</f>
        <v>2022</v>
      </c>
    </row>
    <row r="36" spans="1:14">
      <c r="A36" s="17">
        <v>44804</v>
      </c>
      <c r="B36" s="16" t="s">
        <v>70</v>
      </c>
      <c r="C36" s="16">
        <v>30</v>
      </c>
      <c r="D36" s="16" t="s">
        <v>42</v>
      </c>
      <c r="E36" s="16">
        <v>95</v>
      </c>
      <c r="F36" s="16">
        <v>0</v>
      </c>
      <c r="G36" s="16">
        <v>378</v>
      </c>
      <c r="H36" s="16">
        <f>Tabla26[[#This Row],[P1 + P4]]*VLOOKUP(MONTH(Tabla26[[#This Row],[Fecha final]]),Tabla20[#All],2,FALSE)</f>
        <v>0</v>
      </c>
      <c r="I36" s="16">
        <f>Tabla26[[#This Row],[P2 + P5]]*VLOOKUP(MONTH(Tabla26[[#This Row],[Fecha final]]),Tabla20[#All],3,FALSE)</f>
        <v>0</v>
      </c>
      <c r="J36" s="16">
        <f>(Tabla26[[#This Row],[P3 + P6]])*VLOOKUP(MONTH(Tabla26[[#This Row],[Fecha final]]),Tabla20[#All],4,FALSE)</f>
        <v>132.2244</v>
      </c>
      <c r="K36" s="16">
        <f>Tabla26[[#This Row],[P1 + P4]]*VLOOKUP(MONTH(Tabla26[[#This Row],[Fecha final]]),Tabla20[#All],5,FALSE)</f>
        <v>95</v>
      </c>
      <c r="L36" s="16">
        <f>Tabla26[[#This Row],[P2 + P5]]*VLOOKUP(MONTH(Tabla26[[#This Row],[Fecha final]]),Tabla20[#All],6,FALSE)</f>
        <v>0</v>
      </c>
      <c r="M36" s="16">
        <f>Tabla26[[#This Row],[P3 + P6]]*VLOOKUP(MONTH(Tabla26[[#This Row],[Fecha final]]),Tabla20[#All],7,FALSE)</f>
        <v>245.7756</v>
      </c>
      <c r="N36" s="16">
        <f>YEAR(Tabla26[[#This Row],[Fecha final]])</f>
        <v>2022</v>
      </c>
    </row>
    <row r="37" spans="1:14">
      <c r="A37" s="17">
        <v>44834</v>
      </c>
      <c r="B37" s="16" t="s">
        <v>71</v>
      </c>
      <c r="C37" s="16">
        <v>31</v>
      </c>
      <c r="D37" s="16" t="s">
        <v>42</v>
      </c>
      <c r="E37" s="16">
        <v>196</v>
      </c>
      <c r="F37" s="16">
        <v>90</v>
      </c>
      <c r="G37" s="16">
        <v>209</v>
      </c>
      <c r="H37" s="16">
        <f>Tabla26[[#This Row],[P1 + P4]]*VLOOKUP(MONTH(Tabla26[[#This Row],[Fecha final]]),Tabla20[#All],2,FALSE)</f>
        <v>0</v>
      </c>
      <c r="I37" s="16">
        <f>Tabla26[[#This Row],[P2 + P5]]*VLOOKUP(MONTH(Tabla26[[#This Row],[Fecha final]]),Tabla20[#All],3,FALSE)</f>
        <v>0</v>
      </c>
      <c r="J37" s="16">
        <f>(Tabla26[[#This Row],[P3 + P6]])*VLOOKUP(MONTH(Tabla26[[#This Row],[Fecha final]]),Tabla20[#All],4,FALSE)</f>
        <v>0</v>
      </c>
      <c r="K37" s="16">
        <f>Tabla26[[#This Row],[P1 + P4]]*VLOOKUP(MONTH(Tabla26[[#This Row],[Fecha final]]),Tabla20[#All],5,FALSE)</f>
        <v>196</v>
      </c>
      <c r="L37" s="16">
        <f>Tabla26[[#This Row],[P2 + P5]]*VLOOKUP(MONTH(Tabla26[[#This Row],[Fecha final]]),Tabla20[#All],6,FALSE)</f>
        <v>90</v>
      </c>
      <c r="M37" s="16">
        <f>Tabla26[[#This Row],[P3 + P6]]*VLOOKUP(MONTH(Tabla26[[#This Row],[Fecha final]]),Tabla20[#All],7,FALSE)</f>
        <v>209</v>
      </c>
      <c r="N37" s="16">
        <f>YEAR(Tabla26[[#This Row],[Fecha final]])</f>
        <v>2022</v>
      </c>
    </row>
    <row r="38" spans="1:14">
      <c r="A38" s="17">
        <v>44865</v>
      </c>
      <c r="B38" s="16" t="s">
        <v>72</v>
      </c>
      <c r="C38" s="16">
        <v>30</v>
      </c>
      <c r="D38" s="16" t="s">
        <v>42</v>
      </c>
      <c r="E38" s="16">
        <v>0</v>
      </c>
      <c r="F38" s="16">
        <v>399</v>
      </c>
      <c r="G38" s="16">
        <v>448</v>
      </c>
      <c r="H38" s="16">
        <f>Tabla26[[#This Row],[P1 + P4]]*VLOOKUP(MONTH(Tabla26[[#This Row],[Fecha final]]),Tabla20[#All],2,FALSE)</f>
        <v>0</v>
      </c>
      <c r="I38" s="16">
        <f>Tabla26[[#This Row],[P2 + P5]]*VLOOKUP(MONTH(Tabla26[[#This Row],[Fecha final]]),Tabla20[#All],3,FALSE)</f>
        <v>399</v>
      </c>
      <c r="J38" s="16">
        <f>(Tabla26[[#This Row],[P3 + P6]])*VLOOKUP(MONTH(Tabla26[[#This Row],[Fecha final]]),Tabla20[#All],4,FALSE)</f>
        <v>124.0064</v>
      </c>
      <c r="K38" s="16">
        <f>Tabla26[[#This Row],[P1 + P4]]*VLOOKUP(MONTH(Tabla26[[#This Row],[Fecha final]]),Tabla20[#All],5,FALSE)</f>
        <v>0</v>
      </c>
      <c r="L38" s="16">
        <f>Tabla26[[#This Row],[P2 + P5]]*VLOOKUP(MONTH(Tabla26[[#This Row],[Fecha final]]),Tabla20[#All],6,FALSE)</f>
        <v>0</v>
      </c>
      <c r="M38" s="16">
        <f>Tabla26[[#This Row],[P3 + P6]]*VLOOKUP(MONTH(Tabla26[[#This Row],[Fecha final]]),Tabla20[#All],7,FALSE)</f>
        <v>323.99359999999996</v>
      </c>
      <c r="N38" s="16">
        <f>YEAR(Tabla26[[#This Row],[Fecha final]])</f>
        <v>2022</v>
      </c>
    </row>
    <row r="39" spans="1:14">
      <c r="A39" s="17">
        <v>44895</v>
      </c>
      <c r="B39" s="16" t="s">
        <v>73</v>
      </c>
      <c r="C39" s="16">
        <v>31</v>
      </c>
      <c r="D39" s="16" t="s">
        <v>42</v>
      </c>
      <c r="E39" s="16">
        <v>471</v>
      </c>
      <c r="F39" s="16">
        <v>165</v>
      </c>
      <c r="G39" s="16">
        <v>323</v>
      </c>
      <c r="H39" s="16">
        <f>Tabla26[[#This Row],[P1 + P4]]*VLOOKUP(MONTH(Tabla26[[#This Row],[Fecha final]]),Tabla20[#All],2,FALSE)</f>
        <v>471</v>
      </c>
      <c r="I39" s="16">
        <f>Tabla26[[#This Row],[P2 + P5]]*VLOOKUP(MONTH(Tabla26[[#This Row],[Fecha final]]),Tabla20[#All],3,FALSE)</f>
        <v>165</v>
      </c>
      <c r="J39" s="16">
        <f>(Tabla26[[#This Row],[P3 + P6]])*VLOOKUP(MONTH(Tabla26[[#This Row],[Fecha final]]),Tabla20[#All],4,FALSE)</f>
        <v>0</v>
      </c>
      <c r="K39" s="16">
        <f>Tabla26[[#This Row],[P1 + P4]]*VLOOKUP(MONTH(Tabla26[[#This Row],[Fecha final]]),Tabla20[#All],5,FALSE)</f>
        <v>0</v>
      </c>
      <c r="L39" s="16">
        <f>Tabla26[[#This Row],[P2 + P5]]*VLOOKUP(MONTH(Tabla26[[#This Row],[Fecha final]]),Tabla20[#All],6,FALSE)</f>
        <v>0</v>
      </c>
      <c r="M39" s="16">
        <f>Tabla26[[#This Row],[P3 + P6]]*VLOOKUP(MONTH(Tabla26[[#This Row],[Fecha final]]),Tabla20[#All],7,FALSE)</f>
        <v>323</v>
      </c>
      <c r="N39" s="16">
        <f>YEAR(Tabla26[[#This Row],[Fecha final]])</f>
        <v>2022</v>
      </c>
    </row>
    <row r="40" spans="1:14">
      <c r="A40" s="17">
        <v>44926</v>
      </c>
      <c r="B40" s="16" t="s">
        <v>74</v>
      </c>
      <c r="C40" s="16">
        <v>31</v>
      </c>
      <c r="D40" s="16" t="s">
        <v>42</v>
      </c>
      <c r="E40" s="16">
        <v>668</v>
      </c>
      <c r="F40" s="16">
        <v>229</v>
      </c>
      <c r="G40" s="16">
        <v>352</v>
      </c>
      <c r="H40" s="16">
        <f>Tabla26[[#This Row],[P1 + P4]]*VLOOKUP(MONTH(Tabla26[[#This Row],[Fecha final]]),Tabla20[#All],2,FALSE)</f>
        <v>668</v>
      </c>
      <c r="I40" s="16">
        <f>Tabla26[[#This Row],[P2 + P5]]*VLOOKUP(MONTH(Tabla26[[#This Row],[Fecha final]]),Tabla20[#All],3,FALSE)</f>
        <v>229</v>
      </c>
      <c r="J40" s="16">
        <f>(Tabla26[[#This Row],[P3 + P6]])*VLOOKUP(MONTH(Tabla26[[#This Row],[Fecha final]]),Tabla20[#All],4,FALSE)</f>
        <v>0</v>
      </c>
      <c r="K40" s="16">
        <f>Tabla26[[#This Row],[P1 + P4]]*VLOOKUP(MONTH(Tabla26[[#This Row],[Fecha final]]),Tabla20[#All],5,FALSE)</f>
        <v>0</v>
      </c>
      <c r="L40" s="16">
        <f>Tabla26[[#This Row],[P2 + P5]]*VLOOKUP(MONTH(Tabla26[[#This Row],[Fecha final]]),Tabla20[#All],6,FALSE)</f>
        <v>0</v>
      </c>
      <c r="M40" s="16">
        <f>Tabla26[[#This Row],[P3 + P6]]*VLOOKUP(MONTH(Tabla26[[#This Row],[Fecha final]]),Tabla20[#All],7,FALSE)</f>
        <v>352</v>
      </c>
      <c r="N40" s="16">
        <f>YEAR(Tabla26[[#This Row],[Fecha final]])</f>
        <v>2023</v>
      </c>
    </row>
    <row r="41" spans="1:14">
      <c r="A41" s="17">
        <v>44957</v>
      </c>
      <c r="B41" s="16" t="s">
        <v>75</v>
      </c>
      <c r="C41" s="16">
        <v>28</v>
      </c>
      <c r="D41" s="16" t="s">
        <v>42</v>
      </c>
      <c r="E41" s="16">
        <v>651</v>
      </c>
      <c r="F41" s="16">
        <v>265</v>
      </c>
      <c r="G41" s="16">
        <v>466</v>
      </c>
      <c r="H41" s="16">
        <f>Tabla26[[#This Row],[P1 + P4]]*VLOOKUP(MONTH(Tabla26[[#This Row],[Fecha final]]),Tabla20[#All],2,FALSE)</f>
        <v>651</v>
      </c>
      <c r="I41" s="16">
        <f>Tabla26[[#This Row],[P2 + P5]]*VLOOKUP(MONTH(Tabla26[[#This Row],[Fecha final]]),Tabla20[#All],3,FALSE)</f>
        <v>265</v>
      </c>
      <c r="J41" s="16">
        <f>(Tabla26[[#This Row],[P3 + P6]])*VLOOKUP(MONTH(Tabla26[[#This Row],[Fecha final]]),Tabla20[#All],4,FALSE)</f>
        <v>0</v>
      </c>
      <c r="K41" s="16">
        <f>Tabla26[[#This Row],[P1 + P4]]*VLOOKUP(MONTH(Tabla26[[#This Row],[Fecha final]]),Tabla20[#All],5,FALSE)</f>
        <v>0</v>
      </c>
      <c r="L41" s="16">
        <f>Tabla26[[#This Row],[P2 + P5]]*VLOOKUP(MONTH(Tabla26[[#This Row],[Fecha final]]),Tabla20[#All],6,FALSE)</f>
        <v>0</v>
      </c>
      <c r="M41" s="16">
        <f>Tabla26[[#This Row],[P3 + P6]]*VLOOKUP(MONTH(Tabla26[[#This Row],[Fecha final]]),Tabla20[#All],7,FALSE)</f>
        <v>466</v>
      </c>
      <c r="N41" s="16">
        <f>YEAR(Tabla26[[#This Row],[Fecha final]])</f>
        <v>2023</v>
      </c>
    </row>
    <row r="42" spans="1:14">
      <c r="A42" s="17">
        <v>44985</v>
      </c>
      <c r="B42" s="16" t="s">
        <v>76</v>
      </c>
      <c r="C42" s="16">
        <v>31</v>
      </c>
      <c r="D42" s="16" t="s">
        <v>42</v>
      </c>
      <c r="E42" s="16">
        <v>0</v>
      </c>
      <c r="F42" s="16">
        <v>428</v>
      </c>
      <c r="G42" s="16">
        <v>483</v>
      </c>
      <c r="H42" s="16">
        <f>Tabla26[[#This Row],[P1 + P4]]*VLOOKUP(MONTH(Tabla26[[#This Row],[Fecha final]]),Tabla20[#All],2,FALSE)</f>
        <v>0</v>
      </c>
      <c r="I42" s="16">
        <f>Tabla26[[#This Row],[P2 + P5]]*VLOOKUP(MONTH(Tabla26[[#This Row],[Fecha final]]),Tabla20[#All],3,FALSE)</f>
        <v>428</v>
      </c>
      <c r="J42" s="16">
        <f>(Tabla26[[#This Row],[P3 + P6]])*VLOOKUP(MONTH(Tabla26[[#This Row],[Fecha final]]),Tabla20[#All],4,FALSE)</f>
        <v>144.80340000000001</v>
      </c>
      <c r="K42" s="16">
        <f>Tabla26[[#This Row],[P1 + P4]]*VLOOKUP(MONTH(Tabla26[[#This Row],[Fecha final]]),Tabla20[#All],5,FALSE)</f>
        <v>0</v>
      </c>
      <c r="L42" s="16">
        <f>Tabla26[[#This Row],[P2 + P5]]*VLOOKUP(MONTH(Tabla26[[#This Row],[Fecha final]]),Tabla20[#All],6,FALSE)</f>
        <v>0</v>
      </c>
      <c r="M42" s="16">
        <f>Tabla26[[#This Row],[P3 + P6]]*VLOOKUP(MONTH(Tabla26[[#This Row],[Fecha final]]),Tabla20[#All],7,FALSE)</f>
        <v>338.19660000000005</v>
      </c>
      <c r="N42" s="16">
        <f>YEAR(Tabla26[[#This Row],[Fecha final]])</f>
        <v>2023</v>
      </c>
    </row>
    <row r="45" spans="1:14">
      <c r="A45" s="16" t="s">
        <v>77</v>
      </c>
    </row>
    <row r="47" spans="1:14">
      <c r="A47" s="16" t="s">
        <v>37</v>
      </c>
      <c r="B47" s="16" t="s">
        <v>38</v>
      </c>
      <c r="C47" s="16" t="s">
        <v>39</v>
      </c>
      <c r="D47" s="16" t="s">
        <v>40</v>
      </c>
      <c r="E47" s="16" t="s">
        <v>32</v>
      </c>
      <c r="F47" s="16" t="s">
        <v>33</v>
      </c>
      <c r="G47" s="16" t="s">
        <v>34</v>
      </c>
    </row>
    <row r="48" spans="1:14">
      <c r="A48" s="16" t="s">
        <v>75</v>
      </c>
      <c r="B48" s="16" t="s">
        <v>76</v>
      </c>
      <c r="C48" s="16">
        <v>31</v>
      </c>
      <c r="D48" s="16" t="s">
        <v>42</v>
      </c>
      <c r="E48" s="16">
        <v>0</v>
      </c>
      <c r="F48" s="16">
        <v>17</v>
      </c>
      <c r="G48" s="16">
        <v>0</v>
      </c>
    </row>
    <row r="49" spans="1:7">
      <c r="A49" s="16" t="s">
        <v>74</v>
      </c>
      <c r="B49" s="16" t="s">
        <v>75</v>
      </c>
      <c r="C49" s="16">
        <v>28</v>
      </c>
      <c r="D49" s="16" t="s">
        <v>42</v>
      </c>
      <c r="E49" s="16">
        <v>39</v>
      </c>
      <c r="F49" s="16">
        <v>0</v>
      </c>
      <c r="G49" s="16">
        <v>0</v>
      </c>
    </row>
    <row r="50" spans="1:7">
      <c r="A50" s="16" t="s">
        <v>73</v>
      </c>
      <c r="B50" s="16" t="s">
        <v>74</v>
      </c>
      <c r="C50" s="16">
        <v>31</v>
      </c>
      <c r="D50" s="16" t="s">
        <v>42</v>
      </c>
      <c r="E50" s="16">
        <v>33</v>
      </c>
      <c r="F50" s="16">
        <v>0</v>
      </c>
      <c r="G50" s="16">
        <v>0</v>
      </c>
    </row>
    <row r="51" spans="1:7">
      <c r="A51" s="16" t="s">
        <v>72</v>
      </c>
      <c r="B51" s="16" t="s">
        <v>73</v>
      </c>
      <c r="C51" s="16">
        <v>31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71</v>
      </c>
      <c r="B52" s="16" t="s">
        <v>72</v>
      </c>
      <c r="C52" s="16">
        <v>30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70</v>
      </c>
      <c r="B53" s="16" t="s">
        <v>71</v>
      </c>
      <c r="C53" s="16">
        <v>31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69</v>
      </c>
      <c r="B54" s="16" t="s">
        <v>70</v>
      </c>
      <c r="C54" s="16">
        <v>30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68</v>
      </c>
      <c r="B55" s="16" t="s">
        <v>69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67</v>
      </c>
      <c r="B56" s="16" t="s">
        <v>68</v>
      </c>
      <c r="C56" s="16">
        <v>31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66</v>
      </c>
      <c r="B57" s="16" t="s">
        <v>67</v>
      </c>
      <c r="C57" s="16">
        <v>30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65</v>
      </c>
      <c r="B58" s="16" t="s">
        <v>66</v>
      </c>
      <c r="C58" s="16">
        <v>31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63</v>
      </c>
      <c r="B59" s="16" t="s">
        <v>65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62</v>
      </c>
      <c r="B60" s="16" t="s">
        <v>63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61</v>
      </c>
      <c r="B61" s="16" t="s">
        <v>62</v>
      </c>
      <c r="C61" s="16">
        <v>28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60</v>
      </c>
      <c r="B62" s="16" t="s">
        <v>61</v>
      </c>
      <c r="C62" s="16">
        <v>31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59</v>
      </c>
      <c r="B63" s="16" t="s">
        <v>60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58</v>
      </c>
      <c r="B64" s="16" t="s">
        <v>59</v>
      </c>
      <c r="C64" s="16">
        <v>2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57</v>
      </c>
      <c r="B65" s="16" t="s">
        <v>58</v>
      </c>
      <c r="C65" s="16">
        <v>30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55</v>
      </c>
      <c r="B66" s="16" t="s">
        <v>57</v>
      </c>
      <c r="C66" s="16">
        <v>31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54</v>
      </c>
      <c r="B67" s="16" t="s">
        <v>55</v>
      </c>
      <c r="C67" s="16">
        <v>30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53</v>
      </c>
      <c r="B68" s="16" t="s">
        <v>54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52</v>
      </c>
      <c r="B69" s="16" t="s">
        <v>53</v>
      </c>
      <c r="C69" s="16">
        <v>31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51</v>
      </c>
      <c r="B70" s="16" t="s">
        <v>52</v>
      </c>
      <c r="C70" s="16">
        <v>30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352</v>
      </c>
      <c r="B71" s="16" t="s">
        <v>51</v>
      </c>
      <c r="C71" s="16">
        <v>21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353</v>
      </c>
      <c r="B72" s="16" t="s">
        <v>352</v>
      </c>
      <c r="C72" s="16">
        <v>30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354</v>
      </c>
      <c r="B73" s="16" t="s">
        <v>353</v>
      </c>
      <c r="C73" s="16">
        <v>31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355</v>
      </c>
      <c r="B74" s="16" t="s">
        <v>354</v>
      </c>
      <c r="C74" s="16">
        <v>28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356</v>
      </c>
      <c r="B75" s="16" t="s">
        <v>355</v>
      </c>
      <c r="C75" s="16">
        <v>31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357</v>
      </c>
      <c r="B76" s="16" t="s">
        <v>356</v>
      </c>
      <c r="C76" s="16">
        <v>31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358</v>
      </c>
      <c r="B77" s="16" t="s">
        <v>357</v>
      </c>
      <c r="C77" s="16">
        <v>30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359</v>
      </c>
      <c r="B78" s="16" t="s">
        <v>358</v>
      </c>
      <c r="C78" s="16">
        <v>31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360</v>
      </c>
      <c r="B79" s="16" t="s">
        <v>359</v>
      </c>
      <c r="C79" s="16">
        <v>30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361</v>
      </c>
      <c r="B80" s="16" t="s">
        <v>360</v>
      </c>
      <c r="C80" s="16">
        <v>22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362</v>
      </c>
      <c r="B81" s="16" t="s">
        <v>361</v>
      </c>
      <c r="C81" s="16">
        <v>40</v>
      </c>
      <c r="D81" s="16" t="s">
        <v>42</v>
      </c>
      <c r="E81" s="16">
        <v>0</v>
      </c>
      <c r="F81" s="16">
        <v>0</v>
      </c>
      <c r="G81" s="16">
        <v>0</v>
      </c>
    </row>
    <row r="82" spans="1:7">
      <c r="A82" s="16" t="s">
        <v>363</v>
      </c>
      <c r="B82" s="16" t="s">
        <v>362</v>
      </c>
      <c r="C82" s="16">
        <v>30</v>
      </c>
      <c r="D82" s="16" t="s">
        <v>42</v>
      </c>
      <c r="E82" s="16">
        <v>0</v>
      </c>
      <c r="F82" s="16">
        <v>0</v>
      </c>
      <c r="G82" s="16">
        <v>0</v>
      </c>
    </row>
    <row r="83" spans="1:7">
      <c r="A83" s="16" t="s">
        <v>364</v>
      </c>
      <c r="B83" s="16" t="s">
        <v>363</v>
      </c>
      <c r="C83" s="16">
        <v>31</v>
      </c>
      <c r="D83" s="16" t="s">
        <v>42</v>
      </c>
      <c r="E83" s="16">
        <v>0</v>
      </c>
      <c r="F83" s="16">
        <v>0</v>
      </c>
      <c r="G83" s="16">
        <v>0</v>
      </c>
    </row>
    <row r="86" spans="1:7">
      <c r="A86" s="16" t="s">
        <v>79</v>
      </c>
    </row>
    <row r="88" spans="1:7">
      <c r="A88" s="16" t="s">
        <v>80</v>
      </c>
      <c r="B88" s="16" t="s">
        <v>81</v>
      </c>
      <c r="C88" s="16" t="s">
        <v>82</v>
      </c>
      <c r="D88" s="16" t="s">
        <v>83</v>
      </c>
    </row>
    <row r="89" spans="1:7">
      <c r="A89" s="16" t="s">
        <v>84</v>
      </c>
      <c r="B89" s="16">
        <v>29.6</v>
      </c>
      <c r="C89" s="16">
        <v>29.6</v>
      </c>
      <c r="D89" s="16">
        <v>29.6</v>
      </c>
    </row>
    <row r="90" spans="1:7">
      <c r="A90" s="16" t="s">
        <v>37</v>
      </c>
      <c r="B90" s="16" t="s">
        <v>38</v>
      </c>
      <c r="C90" s="16" t="s">
        <v>39</v>
      </c>
      <c r="D90" s="16" t="s">
        <v>40</v>
      </c>
      <c r="E90" s="16" t="s">
        <v>81</v>
      </c>
      <c r="F90" s="16" t="s">
        <v>82</v>
      </c>
      <c r="G90" s="16" t="s">
        <v>83</v>
      </c>
    </row>
    <row r="91" spans="1:7">
      <c r="A91" s="16" t="s">
        <v>75</v>
      </c>
      <c r="B91" s="16" t="s">
        <v>76</v>
      </c>
      <c r="C91" s="16">
        <v>31</v>
      </c>
      <c r="D91" s="16" t="s">
        <v>42</v>
      </c>
      <c r="E91" s="16">
        <v>0</v>
      </c>
      <c r="F91" s="16">
        <v>15.89</v>
      </c>
      <c r="G91" s="16">
        <v>10.92</v>
      </c>
    </row>
    <row r="92" spans="1:7">
      <c r="A92" s="16" t="s">
        <v>74</v>
      </c>
      <c r="B92" s="16" t="s">
        <v>75</v>
      </c>
      <c r="C92" s="16">
        <v>28</v>
      </c>
      <c r="D92" s="16" t="s">
        <v>42</v>
      </c>
      <c r="E92" s="16">
        <v>19.34</v>
      </c>
      <c r="F92" s="16">
        <v>11.27</v>
      </c>
      <c r="G92" s="16">
        <v>12.55</v>
      </c>
    </row>
    <row r="93" spans="1:7">
      <c r="A93" s="16" t="s">
        <v>73</v>
      </c>
      <c r="B93" s="16" t="s">
        <v>74</v>
      </c>
      <c r="C93" s="16">
        <v>31</v>
      </c>
      <c r="D93" s="16" t="s">
        <v>42</v>
      </c>
      <c r="E93" s="16">
        <v>19.399999999999999</v>
      </c>
      <c r="F93" s="16">
        <v>10.1</v>
      </c>
      <c r="G93" s="16">
        <v>11.68</v>
      </c>
    </row>
    <row r="94" spans="1:7">
      <c r="A94" s="16" t="s">
        <v>72</v>
      </c>
      <c r="B94" s="16" t="s">
        <v>73</v>
      </c>
      <c r="C94" s="16">
        <v>31</v>
      </c>
      <c r="D94" s="16" t="s">
        <v>42</v>
      </c>
      <c r="E94" s="16">
        <v>13.2</v>
      </c>
      <c r="F94" s="16">
        <v>6.69</v>
      </c>
      <c r="G94" s="16">
        <v>7.56</v>
      </c>
    </row>
    <row r="95" spans="1:7">
      <c r="A95" s="16" t="s">
        <v>71</v>
      </c>
      <c r="B95" s="16" t="s">
        <v>72</v>
      </c>
      <c r="C95" s="16">
        <v>30</v>
      </c>
      <c r="D95" s="16" t="s">
        <v>42</v>
      </c>
      <c r="E95" s="16">
        <v>0</v>
      </c>
      <c r="F95" s="16">
        <v>12.07</v>
      </c>
      <c r="G95" s="16">
        <v>7.68</v>
      </c>
    </row>
    <row r="96" spans="1:7">
      <c r="A96" s="16" t="s">
        <v>70</v>
      </c>
      <c r="B96" s="16" t="s">
        <v>71</v>
      </c>
      <c r="C96" s="16">
        <v>31</v>
      </c>
      <c r="D96" s="16" t="s">
        <v>42</v>
      </c>
      <c r="E96" s="16">
        <v>3.9</v>
      </c>
      <c r="F96" s="16">
        <v>3.58</v>
      </c>
      <c r="G96" s="16">
        <v>3.43</v>
      </c>
    </row>
    <row r="97" spans="1:7">
      <c r="A97" s="16" t="s">
        <v>69</v>
      </c>
      <c r="B97" s="16" t="s">
        <v>70</v>
      </c>
      <c r="C97" s="16">
        <v>30</v>
      </c>
      <c r="D97" s="16" t="s">
        <v>42</v>
      </c>
      <c r="E97" s="16">
        <v>3.57</v>
      </c>
      <c r="F97" s="16">
        <v>0</v>
      </c>
      <c r="G97" s="16">
        <v>4.41</v>
      </c>
    </row>
    <row r="98" spans="1:7">
      <c r="A98" s="16" t="s">
        <v>68</v>
      </c>
      <c r="B98" s="16" t="s">
        <v>69</v>
      </c>
      <c r="C98" s="16">
        <v>31</v>
      </c>
      <c r="D98" s="16" t="s">
        <v>42</v>
      </c>
      <c r="E98" s="16">
        <v>3.53</v>
      </c>
      <c r="F98" s="16">
        <v>0</v>
      </c>
      <c r="G98" s="16">
        <v>3.75</v>
      </c>
    </row>
    <row r="99" spans="1:7">
      <c r="A99" s="16" t="s">
        <v>67</v>
      </c>
      <c r="B99" s="16" t="s">
        <v>68</v>
      </c>
      <c r="C99" s="16">
        <v>31</v>
      </c>
      <c r="D99" s="16" t="s">
        <v>42</v>
      </c>
      <c r="E99" s="16">
        <v>4.38</v>
      </c>
      <c r="F99" s="16">
        <v>3.14</v>
      </c>
      <c r="G99" s="16">
        <v>3.41</v>
      </c>
    </row>
    <row r="100" spans="1:7">
      <c r="A100" s="16" t="s">
        <v>66</v>
      </c>
      <c r="B100" s="16" t="s">
        <v>67</v>
      </c>
      <c r="C100" s="16">
        <v>30</v>
      </c>
      <c r="D100" s="16" t="s">
        <v>42</v>
      </c>
      <c r="E100" s="16">
        <v>3.93</v>
      </c>
      <c r="F100" s="16">
        <v>0</v>
      </c>
      <c r="G100" s="16">
        <v>3.34</v>
      </c>
    </row>
    <row r="101" spans="1:7">
      <c r="A101" s="16" t="s">
        <v>65</v>
      </c>
      <c r="B101" s="16" t="s">
        <v>66</v>
      </c>
      <c r="C101" s="16">
        <v>31</v>
      </c>
      <c r="D101" s="16" t="s">
        <v>42</v>
      </c>
      <c r="E101" s="16">
        <v>6.2</v>
      </c>
      <c r="F101" s="16">
        <v>5.43</v>
      </c>
      <c r="G101" s="16">
        <v>3.2</v>
      </c>
    </row>
    <row r="102" spans="1:7">
      <c r="A102" s="16" t="s">
        <v>63</v>
      </c>
      <c r="B102" s="16" t="s">
        <v>65</v>
      </c>
      <c r="C102" s="16">
        <v>30</v>
      </c>
      <c r="D102" s="16" t="s">
        <v>42</v>
      </c>
      <c r="E102" s="16">
        <v>10.34</v>
      </c>
      <c r="F102" s="16">
        <v>10.45</v>
      </c>
      <c r="G102" s="16">
        <v>8.1300000000000008</v>
      </c>
    </row>
    <row r="103" spans="1:7">
      <c r="A103" s="16" t="s">
        <v>62</v>
      </c>
      <c r="B103" s="16" t="s">
        <v>63</v>
      </c>
      <c r="C103" s="16">
        <v>31</v>
      </c>
      <c r="D103" s="16" t="s">
        <v>42</v>
      </c>
      <c r="E103" s="16">
        <v>0</v>
      </c>
      <c r="F103" s="16">
        <v>7.08</v>
      </c>
      <c r="G103" s="16">
        <v>8.3000000000000007</v>
      </c>
    </row>
    <row r="104" spans="1:7">
      <c r="A104" s="16" t="s">
        <v>61</v>
      </c>
      <c r="B104" s="16" t="s">
        <v>62</v>
      </c>
      <c r="C104" s="16">
        <v>28</v>
      </c>
      <c r="D104" s="16" t="s">
        <v>42</v>
      </c>
      <c r="E104" s="16">
        <v>9.1300000000000008</v>
      </c>
      <c r="F104" s="16">
        <v>11.16</v>
      </c>
      <c r="G104" s="16">
        <v>9.1999999999999993</v>
      </c>
    </row>
    <row r="105" spans="1:7">
      <c r="A105" s="16" t="s">
        <v>60</v>
      </c>
      <c r="B105" s="16" t="s">
        <v>61</v>
      </c>
      <c r="C105" s="16">
        <v>31</v>
      </c>
      <c r="D105" s="16" t="s">
        <v>42</v>
      </c>
      <c r="E105" s="16">
        <v>7.18</v>
      </c>
      <c r="F105" s="16">
        <v>7.05</v>
      </c>
      <c r="G105" s="16">
        <v>4.26</v>
      </c>
    </row>
    <row r="106" spans="1:7">
      <c r="A106" s="16" t="s">
        <v>59</v>
      </c>
      <c r="B106" s="16" t="s">
        <v>60</v>
      </c>
      <c r="C106" s="16">
        <v>29</v>
      </c>
      <c r="D106" s="16" t="s">
        <v>42</v>
      </c>
      <c r="E106" s="16">
        <v>7.32</v>
      </c>
      <c r="F106" s="16">
        <v>8.92</v>
      </c>
      <c r="G106" s="16">
        <v>8.48</v>
      </c>
    </row>
    <row r="107" spans="1:7">
      <c r="A107" s="16" t="s">
        <v>58</v>
      </c>
      <c r="B107" s="16" t="s">
        <v>59</v>
      </c>
      <c r="C107" s="16">
        <v>2</v>
      </c>
      <c r="D107" s="16" t="s">
        <v>42</v>
      </c>
      <c r="E107" s="16">
        <v>0</v>
      </c>
      <c r="F107" s="16">
        <v>8.43</v>
      </c>
      <c r="G107" s="16">
        <v>8.76</v>
      </c>
    </row>
    <row r="108" spans="1:7">
      <c r="A108" s="16" t="s">
        <v>57</v>
      </c>
      <c r="B108" s="16" t="s">
        <v>58</v>
      </c>
      <c r="C108" s="16">
        <v>30</v>
      </c>
      <c r="D108" s="16" t="s">
        <v>42</v>
      </c>
      <c r="E108" s="16">
        <v>0</v>
      </c>
      <c r="F108" s="16">
        <v>8.43</v>
      </c>
      <c r="G108" s="16">
        <v>8.76</v>
      </c>
    </row>
    <row r="109" spans="1:7">
      <c r="A109" s="16" t="s">
        <v>55</v>
      </c>
      <c r="B109" s="16" t="s">
        <v>57</v>
      </c>
      <c r="C109" s="16">
        <v>31</v>
      </c>
      <c r="D109" s="16" t="s">
        <v>42</v>
      </c>
      <c r="E109" s="16">
        <v>5.17</v>
      </c>
      <c r="F109" s="16">
        <v>5.23</v>
      </c>
      <c r="G109" s="16">
        <v>3.57</v>
      </c>
    </row>
    <row r="110" spans="1:7">
      <c r="A110" s="16" t="s">
        <v>54</v>
      </c>
      <c r="B110" s="16" t="s">
        <v>55</v>
      </c>
      <c r="C110" s="16">
        <v>30</v>
      </c>
      <c r="D110" s="16" t="s">
        <v>42</v>
      </c>
      <c r="E110" s="16">
        <v>3.71</v>
      </c>
      <c r="F110" s="16">
        <v>0</v>
      </c>
      <c r="G110" s="16">
        <v>4.16</v>
      </c>
    </row>
    <row r="111" spans="1:7">
      <c r="A111" s="16" t="s">
        <v>53</v>
      </c>
      <c r="B111" s="16" t="s">
        <v>54</v>
      </c>
      <c r="C111" s="16">
        <v>31</v>
      </c>
      <c r="D111" s="16" t="s">
        <v>42</v>
      </c>
      <c r="E111" s="16">
        <v>3.04</v>
      </c>
      <c r="F111" s="16">
        <v>0</v>
      </c>
      <c r="G111" s="16">
        <v>3.29</v>
      </c>
    </row>
    <row r="112" spans="1:7">
      <c r="A112" s="16" t="s">
        <v>52</v>
      </c>
      <c r="B112" s="16" t="s">
        <v>53</v>
      </c>
      <c r="C112" s="16">
        <v>31</v>
      </c>
      <c r="D112" s="16" t="s">
        <v>42</v>
      </c>
      <c r="E112" s="16">
        <v>3.32</v>
      </c>
      <c r="F112" s="16">
        <v>3</v>
      </c>
      <c r="G112" s="16">
        <v>3.21</v>
      </c>
    </row>
    <row r="113" spans="1:7">
      <c r="A113" s="16" t="s">
        <v>51</v>
      </c>
      <c r="B113" s="16" t="s">
        <v>52</v>
      </c>
      <c r="C113" s="16">
        <v>30</v>
      </c>
      <c r="D113" s="16" t="s">
        <v>42</v>
      </c>
      <c r="E113" s="16">
        <v>4</v>
      </c>
      <c r="F113" s="16">
        <v>0</v>
      </c>
      <c r="G113" s="16">
        <v>4.2699999999999996</v>
      </c>
    </row>
    <row r="114" spans="1:7">
      <c r="A114" s="16" t="s">
        <v>352</v>
      </c>
      <c r="B114" s="16" t="s">
        <v>51</v>
      </c>
      <c r="C114" s="16">
        <v>21</v>
      </c>
      <c r="D114" s="16" t="s">
        <v>42</v>
      </c>
      <c r="E114" s="16">
        <v>0</v>
      </c>
      <c r="F114" s="16">
        <v>0</v>
      </c>
      <c r="G114" s="16">
        <v>0.01</v>
      </c>
    </row>
    <row r="115" spans="1:7">
      <c r="A115" s="16" t="s">
        <v>353</v>
      </c>
      <c r="B115" s="16" t="s">
        <v>352</v>
      </c>
      <c r="C115" s="16">
        <v>30</v>
      </c>
      <c r="D115" s="16" t="s">
        <v>42</v>
      </c>
      <c r="E115" s="16">
        <v>6.66</v>
      </c>
      <c r="F115" s="16">
        <v>9.5399999999999991</v>
      </c>
      <c r="G115" s="16">
        <v>3.36</v>
      </c>
    </row>
    <row r="116" spans="1:7">
      <c r="A116" s="16" t="s">
        <v>354</v>
      </c>
      <c r="B116" s="16" t="s">
        <v>353</v>
      </c>
      <c r="C116" s="16">
        <v>31</v>
      </c>
      <c r="D116" s="16" t="s">
        <v>42</v>
      </c>
      <c r="E116" s="16">
        <v>4.38</v>
      </c>
      <c r="F116" s="16">
        <v>10.52</v>
      </c>
      <c r="G116" s="16">
        <v>3.13</v>
      </c>
    </row>
    <row r="117" spans="1:7">
      <c r="A117" s="16" t="s">
        <v>355</v>
      </c>
      <c r="B117" s="16" t="s">
        <v>354</v>
      </c>
      <c r="C117" s="16">
        <v>28</v>
      </c>
      <c r="D117" s="16" t="s">
        <v>42</v>
      </c>
      <c r="E117" s="16">
        <v>3.07</v>
      </c>
      <c r="F117" s="16">
        <v>8.84</v>
      </c>
      <c r="G117" s="16">
        <v>5.52</v>
      </c>
    </row>
    <row r="118" spans="1:7">
      <c r="A118" s="16" t="s">
        <v>356</v>
      </c>
      <c r="B118" s="16" t="s">
        <v>355</v>
      </c>
      <c r="C118" s="16">
        <v>31</v>
      </c>
      <c r="D118" s="16" t="s">
        <v>42</v>
      </c>
      <c r="E118" s="16">
        <v>3.82</v>
      </c>
      <c r="F118" s="16">
        <v>12.34</v>
      </c>
      <c r="G118" s="16">
        <v>10.69</v>
      </c>
    </row>
    <row r="119" spans="1:7">
      <c r="A119" s="16" t="s">
        <v>357</v>
      </c>
      <c r="B119" s="16" t="s">
        <v>356</v>
      </c>
      <c r="C119" s="16">
        <v>31</v>
      </c>
      <c r="D119" s="16" t="s">
        <v>42</v>
      </c>
      <c r="E119" s="16">
        <v>2.44</v>
      </c>
      <c r="F119" s="16">
        <v>10.77</v>
      </c>
      <c r="G119" s="16">
        <v>2.04</v>
      </c>
    </row>
    <row r="120" spans="1:7">
      <c r="A120" s="16" t="s">
        <v>358</v>
      </c>
      <c r="B120" s="16" t="s">
        <v>357</v>
      </c>
      <c r="C120" s="16">
        <v>30</v>
      </c>
      <c r="D120" s="16" t="s">
        <v>42</v>
      </c>
      <c r="E120" s="16">
        <v>3.47</v>
      </c>
      <c r="F120" s="16">
        <v>6.64</v>
      </c>
      <c r="G120" s="16">
        <v>3.3</v>
      </c>
    </row>
    <row r="121" spans="1:7">
      <c r="A121" s="16" t="s">
        <v>359</v>
      </c>
      <c r="B121" s="16" t="s">
        <v>358</v>
      </c>
      <c r="C121" s="16">
        <v>31</v>
      </c>
      <c r="D121" s="16" t="s">
        <v>42</v>
      </c>
      <c r="E121" s="16">
        <v>5.58</v>
      </c>
      <c r="F121" s="16">
        <v>5.5</v>
      </c>
      <c r="G121" s="16">
        <v>2.85</v>
      </c>
    </row>
    <row r="122" spans="1:7">
      <c r="A122" s="16" t="s">
        <v>360</v>
      </c>
      <c r="B122" s="16" t="s">
        <v>359</v>
      </c>
      <c r="C122" s="16">
        <v>30</v>
      </c>
      <c r="D122" s="16" t="s">
        <v>42</v>
      </c>
      <c r="E122" s="16">
        <v>3.25</v>
      </c>
      <c r="F122" s="16">
        <v>3.51</v>
      </c>
      <c r="G122" s="16">
        <v>2.08</v>
      </c>
    </row>
    <row r="123" spans="1:7">
      <c r="A123" s="16" t="s">
        <v>361</v>
      </c>
      <c r="B123" s="16" t="s">
        <v>360</v>
      </c>
      <c r="C123" s="16">
        <v>22</v>
      </c>
      <c r="D123" s="16" t="s">
        <v>42</v>
      </c>
      <c r="E123" s="16">
        <v>3.54</v>
      </c>
      <c r="F123" s="16">
        <v>3.95</v>
      </c>
      <c r="G123" s="16">
        <v>2.08</v>
      </c>
    </row>
    <row r="124" spans="1:7">
      <c r="A124" s="16" t="s">
        <v>362</v>
      </c>
      <c r="B124" s="16" t="s">
        <v>361</v>
      </c>
      <c r="C124" s="16">
        <v>40</v>
      </c>
      <c r="D124" s="16" t="s">
        <v>42</v>
      </c>
      <c r="E124" s="16">
        <v>2.06</v>
      </c>
      <c r="F124" s="16">
        <v>3.54</v>
      </c>
      <c r="G124" s="16">
        <v>2.0299999999999998</v>
      </c>
    </row>
    <row r="125" spans="1:7">
      <c r="A125" s="16" t="s">
        <v>363</v>
      </c>
      <c r="B125" s="16" t="s">
        <v>362</v>
      </c>
      <c r="C125" s="16">
        <v>30</v>
      </c>
      <c r="D125" s="16" t="s">
        <v>42</v>
      </c>
      <c r="E125" s="16">
        <v>3.36</v>
      </c>
      <c r="F125" s="16">
        <v>3.06</v>
      </c>
      <c r="G125" s="16">
        <v>2.11</v>
      </c>
    </row>
    <row r="126" spans="1:7">
      <c r="A126" s="16" t="s">
        <v>364</v>
      </c>
      <c r="B126" s="16" t="s">
        <v>363</v>
      </c>
      <c r="C126" s="16">
        <v>31</v>
      </c>
      <c r="D126" s="16" t="s">
        <v>42</v>
      </c>
      <c r="E126" s="16">
        <v>2.09</v>
      </c>
      <c r="F126" s="16">
        <v>2</v>
      </c>
      <c r="G126" s="16">
        <v>2.72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83775-BF52-446D-9A99-77A5B4624759}">
  <dimension ref="A1:N123"/>
  <sheetViews>
    <sheetView topLeftCell="A19" workbookViewId="0">
      <selection activeCell="H27" sqref="H27:J37"/>
    </sheetView>
  </sheetViews>
  <sheetFormatPr baseColWidth="10" defaultColWidth="8.6640625" defaultRowHeight="14.4"/>
  <cols>
    <col min="1" max="1" width="13.44140625" style="16" customWidth="1"/>
    <col min="2" max="2" width="12.33203125" style="16" customWidth="1"/>
    <col min="3" max="16384" width="8.6640625" style="16"/>
  </cols>
  <sheetData>
    <row r="1" spans="1:14">
      <c r="A1" s="16" t="s">
        <v>30</v>
      </c>
    </row>
    <row r="3" spans="1:14">
      <c r="A3" s="16" t="s">
        <v>283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0</v>
      </c>
      <c r="C4" s="16">
        <v>1</v>
      </c>
      <c r="D4" s="16">
        <v>0</v>
      </c>
    </row>
    <row r="5" spans="1:14">
      <c r="A5" s="16" t="s">
        <v>36</v>
      </c>
      <c r="B5" s="16">
        <v>0</v>
      </c>
      <c r="C5" s="16">
        <v>100</v>
      </c>
      <c r="D5" s="16">
        <v>0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>
      <c r="A7" s="17">
        <v>43977</v>
      </c>
      <c r="B7" s="16" t="s">
        <v>285</v>
      </c>
      <c r="C7" s="16">
        <v>28</v>
      </c>
      <c r="D7" s="16" t="s">
        <v>42</v>
      </c>
      <c r="E7" s="16">
        <v>0</v>
      </c>
      <c r="F7" s="16">
        <v>0</v>
      </c>
      <c r="G7" s="16">
        <v>0</v>
      </c>
      <c r="H7" s="16">
        <f>Tabla21[[#This Row],[P1 + P4]]*VLOOKUP(MONTH(Tabla21[[#This Row],[Fecha final]]),Tabla20[#All],2,FALSE)</f>
        <v>0</v>
      </c>
      <c r="I7" s="16">
        <f>Tabla21[[#This Row],[P2 + P5]]*VLOOKUP(MONTH(Tabla21[[#This Row],[Fecha final]]),Tabla20[#All],3,FALSE)</f>
        <v>0</v>
      </c>
      <c r="J7" s="16">
        <f>(Tabla21[[#This Row],[P3 + P6]])*VLOOKUP(MONTH(Tabla21[[#This Row],[Fecha final]]),Tabla20[#All],4,FALSE)</f>
        <v>0</v>
      </c>
      <c r="K7" s="16">
        <f>Tabla21[[#This Row],[P1 + P4]]*VLOOKUP(MONTH(Tabla21[[#This Row],[Fecha final]]),Tabla20[#All],5,FALSE)</f>
        <v>0</v>
      </c>
      <c r="L7" s="16">
        <f>Tabla21[[#This Row],[P2 + P5]]*VLOOKUP(MONTH(Tabla21[[#This Row],[Fecha final]]),Tabla20[#All],6,FALSE)</f>
        <v>0</v>
      </c>
      <c r="M7" s="16">
        <f>Tabla21[[#This Row],[P3 + P6]]*VLOOKUP(MONTH(Tabla21[[#This Row],[Fecha final]]),Tabla20[#All],7,FALSE)</f>
        <v>0</v>
      </c>
      <c r="N7" s="16">
        <f>YEAR(Tabla21[[#This Row],[Fecha final]])</f>
        <v>2020</v>
      </c>
    </row>
    <row r="8" spans="1:14">
      <c r="A8" s="17">
        <v>44005</v>
      </c>
      <c r="B8" s="16" t="s">
        <v>132</v>
      </c>
      <c r="C8" s="16">
        <v>29</v>
      </c>
      <c r="D8" s="16" t="s">
        <v>42</v>
      </c>
      <c r="E8" s="16">
        <v>0</v>
      </c>
      <c r="F8" s="16">
        <v>0</v>
      </c>
      <c r="G8" s="16">
        <v>0</v>
      </c>
      <c r="H8" s="16">
        <f>Tabla21[[#This Row],[P1 + P4]]*VLOOKUP(MONTH(Tabla21[[#This Row],[Fecha final]]),Tabla20[#All],2,FALSE)</f>
        <v>0</v>
      </c>
      <c r="I8" s="16">
        <f>Tabla21[[#This Row],[P2 + P5]]*VLOOKUP(MONTH(Tabla21[[#This Row],[Fecha final]]),Tabla20[#All],3,FALSE)</f>
        <v>0</v>
      </c>
      <c r="J8" s="16">
        <f>(Tabla21[[#This Row],[P3 + P6]])*VLOOKUP(MONTH(Tabla21[[#This Row],[Fecha final]]),Tabla20[#All],4,FALSE)</f>
        <v>0</v>
      </c>
      <c r="K8" s="16">
        <f>Tabla21[[#This Row],[P1 + P4]]*VLOOKUP(MONTH(Tabla21[[#This Row],[Fecha final]]),Tabla20[#All],5,FALSE)</f>
        <v>0</v>
      </c>
      <c r="L8" s="16">
        <f>Tabla21[[#This Row],[P2 + P5]]*VLOOKUP(MONTH(Tabla21[[#This Row],[Fecha final]]),Tabla20[#All],6,FALSE)</f>
        <v>0</v>
      </c>
      <c r="M8" s="16">
        <f>Tabla21[[#This Row],[P3 + P6]]*VLOOKUP(MONTH(Tabla21[[#This Row],[Fecha final]]),Tabla20[#All],7,FALSE)</f>
        <v>0</v>
      </c>
      <c r="N8" s="16">
        <f>YEAR(Tabla21[[#This Row],[Fecha final]])</f>
        <v>2020</v>
      </c>
    </row>
    <row r="9" spans="1:14">
      <c r="A9" s="17">
        <v>44034</v>
      </c>
      <c r="B9" s="16" t="s">
        <v>131</v>
      </c>
      <c r="C9" s="16">
        <v>33</v>
      </c>
      <c r="D9" s="16" t="s">
        <v>42</v>
      </c>
      <c r="E9" s="16">
        <v>0</v>
      </c>
      <c r="F9" s="16">
        <v>0</v>
      </c>
      <c r="G9" s="16">
        <v>0</v>
      </c>
      <c r="H9" s="16">
        <f>Tabla21[[#This Row],[P1 + P4]]*VLOOKUP(MONTH(Tabla21[[#This Row],[Fecha final]]),Tabla20[#All],2,FALSE)</f>
        <v>0</v>
      </c>
      <c r="I9" s="16">
        <f>Tabla21[[#This Row],[P2 + P5]]*VLOOKUP(MONTH(Tabla21[[#This Row],[Fecha final]]),Tabla20[#All],3,FALSE)</f>
        <v>0</v>
      </c>
      <c r="J9" s="16">
        <f>(Tabla21[[#This Row],[P3 + P6]])*VLOOKUP(MONTH(Tabla21[[#This Row],[Fecha final]]),Tabla20[#All],4,FALSE)</f>
        <v>0</v>
      </c>
      <c r="K9" s="16">
        <f>Tabla21[[#This Row],[P1 + P4]]*VLOOKUP(MONTH(Tabla21[[#This Row],[Fecha final]]),Tabla20[#All],5,FALSE)</f>
        <v>0</v>
      </c>
      <c r="L9" s="16">
        <f>Tabla21[[#This Row],[P2 + P5]]*VLOOKUP(MONTH(Tabla21[[#This Row],[Fecha final]]),Tabla20[#All],6,FALSE)</f>
        <v>0</v>
      </c>
      <c r="M9" s="16">
        <f>Tabla21[[#This Row],[P3 + P6]]*VLOOKUP(MONTH(Tabla21[[#This Row],[Fecha final]]),Tabla20[#All],7,FALSE)</f>
        <v>0</v>
      </c>
      <c r="N9" s="16">
        <f>YEAR(Tabla21[[#This Row],[Fecha final]])</f>
        <v>2020</v>
      </c>
    </row>
    <row r="10" spans="1:14">
      <c r="A10" s="17">
        <v>44067</v>
      </c>
      <c r="B10" s="16" t="s">
        <v>130</v>
      </c>
      <c r="C10" s="16">
        <v>31</v>
      </c>
      <c r="D10" s="16" t="s">
        <v>42</v>
      </c>
      <c r="E10" s="16">
        <v>0</v>
      </c>
      <c r="F10" s="16">
        <v>0</v>
      </c>
      <c r="G10" s="16">
        <v>0</v>
      </c>
      <c r="H10" s="16">
        <f>Tabla21[[#This Row],[P1 + P4]]*VLOOKUP(MONTH(Tabla21[[#This Row],[Fecha final]]),Tabla20[#All],2,FALSE)</f>
        <v>0</v>
      </c>
      <c r="I10" s="16">
        <f>Tabla21[[#This Row],[P2 + P5]]*VLOOKUP(MONTH(Tabla21[[#This Row],[Fecha final]]),Tabla20[#All],3,FALSE)</f>
        <v>0</v>
      </c>
      <c r="J10" s="16">
        <f>(Tabla21[[#This Row],[P3 + P6]])*VLOOKUP(MONTH(Tabla21[[#This Row],[Fecha final]]),Tabla20[#All],4,FALSE)</f>
        <v>0</v>
      </c>
      <c r="K10" s="16">
        <f>Tabla21[[#This Row],[P1 + P4]]*VLOOKUP(MONTH(Tabla21[[#This Row],[Fecha final]]),Tabla20[#All],5,FALSE)</f>
        <v>0</v>
      </c>
      <c r="L10" s="16">
        <f>Tabla21[[#This Row],[P2 + P5]]*VLOOKUP(MONTH(Tabla21[[#This Row],[Fecha final]]),Tabla20[#All],6,FALSE)</f>
        <v>0</v>
      </c>
      <c r="M10" s="16">
        <f>Tabla21[[#This Row],[P3 + P6]]*VLOOKUP(MONTH(Tabla21[[#This Row],[Fecha final]]),Tabla20[#All],7,FALSE)</f>
        <v>0</v>
      </c>
      <c r="N10" s="16">
        <f>YEAR(Tabla21[[#This Row],[Fecha final]])</f>
        <v>2020</v>
      </c>
    </row>
    <row r="11" spans="1:14">
      <c r="A11" s="17">
        <v>44098</v>
      </c>
      <c r="B11" s="16" t="s">
        <v>129</v>
      </c>
      <c r="C11" s="16">
        <v>32</v>
      </c>
      <c r="D11" s="16" t="s">
        <v>42</v>
      </c>
      <c r="E11" s="16">
        <v>0</v>
      </c>
      <c r="F11" s="16">
        <v>0</v>
      </c>
      <c r="G11" s="16">
        <v>0</v>
      </c>
      <c r="H11" s="16">
        <f>Tabla21[[#This Row],[P1 + P4]]*VLOOKUP(MONTH(Tabla21[[#This Row],[Fecha final]]),Tabla20[#All],2,FALSE)</f>
        <v>0</v>
      </c>
      <c r="I11" s="16">
        <f>Tabla21[[#This Row],[P2 + P5]]*VLOOKUP(MONTH(Tabla21[[#This Row],[Fecha final]]),Tabla20[#All],3,FALSE)</f>
        <v>0</v>
      </c>
      <c r="J11" s="16">
        <f>(Tabla21[[#This Row],[P3 + P6]])*VLOOKUP(MONTH(Tabla21[[#This Row],[Fecha final]]),Tabla20[#All],4,FALSE)</f>
        <v>0</v>
      </c>
      <c r="K11" s="16">
        <f>Tabla21[[#This Row],[P1 + P4]]*VLOOKUP(MONTH(Tabla21[[#This Row],[Fecha final]]),Tabla20[#All],5,FALSE)</f>
        <v>0</v>
      </c>
      <c r="L11" s="16">
        <f>Tabla21[[#This Row],[P2 + P5]]*VLOOKUP(MONTH(Tabla21[[#This Row],[Fecha final]]),Tabla20[#All],6,FALSE)</f>
        <v>0</v>
      </c>
      <c r="M11" s="16">
        <f>Tabla21[[#This Row],[P3 + P6]]*VLOOKUP(MONTH(Tabla21[[#This Row],[Fecha final]]),Tabla20[#All],7,FALSE)</f>
        <v>0</v>
      </c>
      <c r="N11" s="16">
        <f>YEAR(Tabla21[[#This Row],[Fecha final]])</f>
        <v>2020</v>
      </c>
    </row>
    <row r="12" spans="1:14">
      <c r="A12" s="17">
        <v>44130</v>
      </c>
      <c r="B12" s="16" t="s">
        <v>284</v>
      </c>
      <c r="C12" s="16">
        <v>38</v>
      </c>
      <c r="D12" s="16" t="s">
        <v>42</v>
      </c>
      <c r="E12" s="16">
        <v>0</v>
      </c>
      <c r="F12" s="16">
        <v>0</v>
      </c>
      <c r="G12" s="16">
        <v>0</v>
      </c>
      <c r="H12" s="16">
        <f>Tabla21[[#This Row],[P1 + P4]]*VLOOKUP(MONTH(Tabla21[[#This Row],[Fecha final]]),Tabla20[#All],2,FALSE)</f>
        <v>0</v>
      </c>
      <c r="I12" s="16">
        <f>Tabla21[[#This Row],[P2 + P5]]*VLOOKUP(MONTH(Tabla21[[#This Row],[Fecha final]]),Tabla20[#All],3,FALSE)</f>
        <v>0</v>
      </c>
      <c r="J12" s="16">
        <f>(Tabla21[[#This Row],[P3 + P6]])*VLOOKUP(MONTH(Tabla21[[#This Row],[Fecha final]]),Tabla20[#All],4,FALSE)</f>
        <v>0</v>
      </c>
      <c r="K12" s="16">
        <f>Tabla21[[#This Row],[P1 + P4]]*VLOOKUP(MONTH(Tabla21[[#This Row],[Fecha final]]),Tabla20[#All],5,FALSE)</f>
        <v>0</v>
      </c>
      <c r="L12" s="16">
        <f>Tabla21[[#This Row],[P2 + P5]]*VLOOKUP(MONTH(Tabla21[[#This Row],[Fecha final]]),Tabla20[#All],6,FALSE)</f>
        <v>0</v>
      </c>
      <c r="M12" s="16">
        <f>Tabla21[[#This Row],[P3 + P6]]*VLOOKUP(MONTH(Tabla21[[#This Row],[Fecha final]]),Tabla20[#All],7,FALSE)</f>
        <v>0</v>
      </c>
      <c r="N12" s="16">
        <f>YEAR(Tabla21[[#This Row],[Fecha final]])</f>
        <v>2020</v>
      </c>
    </row>
    <row r="13" spans="1:14">
      <c r="A13" s="17">
        <v>44168</v>
      </c>
      <c r="B13" s="16" t="s">
        <v>45</v>
      </c>
      <c r="C13" s="16">
        <v>28</v>
      </c>
      <c r="D13" s="16" t="s">
        <v>42</v>
      </c>
      <c r="E13" s="16">
        <v>0</v>
      </c>
      <c r="F13" s="16">
        <v>0</v>
      </c>
      <c r="G13" s="16">
        <v>0</v>
      </c>
      <c r="H13" s="16">
        <f>Tabla21[[#This Row],[P1 + P4]]*VLOOKUP(MONTH(Tabla21[[#This Row],[Fecha final]]),Tabla20[#All],2,FALSE)</f>
        <v>0</v>
      </c>
      <c r="I13" s="16">
        <f>Tabla21[[#This Row],[P2 + P5]]*VLOOKUP(MONTH(Tabla21[[#This Row],[Fecha final]]),Tabla20[#All],3,FALSE)</f>
        <v>0</v>
      </c>
      <c r="J13" s="16">
        <f>(Tabla21[[#This Row],[P3 + P6]])*VLOOKUP(MONTH(Tabla21[[#This Row],[Fecha final]]),Tabla20[#All],4,FALSE)</f>
        <v>0</v>
      </c>
      <c r="K13" s="16">
        <f>Tabla21[[#This Row],[P1 + P4]]*VLOOKUP(MONTH(Tabla21[[#This Row],[Fecha final]]),Tabla20[#All],5,FALSE)</f>
        <v>0</v>
      </c>
      <c r="L13" s="16">
        <f>Tabla21[[#This Row],[P2 + P5]]*VLOOKUP(MONTH(Tabla21[[#This Row],[Fecha final]]),Tabla20[#All],6,FALSE)</f>
        <v>0</v>
      </c>
      <c r="M13" s="16">
        <f>Tabla21[[#This Row],[P3 + P6]]*VLOOKUP(MONTH(Tabla21[[#This Row],[Fecha final]]),Tabla20[#All],7,FALSE)</f>
        <v>0</v>
      </c>
      <c r="N13" s="16">
        <f>YEAR(Tabla21[[#This Row],[Fecha final]])</f>
        <v>2020</v>
      </c>
    </row>
    <row r="14" spans="1:14">
      <c r="A14" s="17">
        <v>44196</v>
      </c>
      <c r="B14" s="16" t="s">
        <v>46</v>
      </c>
      <c r="C14" s="16">
        <v>31</v>
      </c>
      <c r="D14" s="16" t="s">
        <v>42</v>
      </c>
      <c r="E14" s="16">
        <v>0</v>
      </c>
      <c r="F14" s="16">
        <v>0</v>
      </c>
      <c r="G14" s="16">
        <v>0</v>
      </c>
      <c r="H14" s="16">
        <f>Tabla21[[#This Row],[P1 + P4]]*VLOOKUP(MONTH(Tabla21[[#This Row],[Fecha final]]),Tabla20[#All],2,FALSE)</f>
        <v>0</v>
      </c>
      <c r="I14" s="16">
        <f>Tabla21[[#This Row],[P2 + P5]]*VLOOKUP(MONTH(Tabla21[[#This Row],[Fecha final]]),Tabla20[#All],3,FALSE)</f>
        <v>0</v>
      </c>
      <c r="J14" s="16">
        <f>(Tabla21[[#This Row],[P3 + P6]])*VLOOKUP(MONTH(Tabla21[[#This Row],[Fecha final]]),Tabla20[#All],4,FALSE)</f>
        <v>0</v>
      </c>
      <c r="K14" s="16">
        <f>Tabla21[[#This Row],[P1 + P4]]*VLOOKUP(MONTH(Tabla21[[#This Row],[Fecha final]]),Tabla20[#All],5,FALSE)</f>
        <v>0</v>
      </c>
      <c r="L14" s="16">
        <f>Tabla21[[#This Row],[P2 + P5]]*VLOOKUP(MONTH(Tabla21[[#This Row],[Fecha final]]),Tabla20[#All],6,FALSE)</f>
        <v>0</v>
      </c>
      <c r="M14" s="16">
        <f>Tabla21[[#This Row],[P3 + P6]]*VLOOKUP(MONTH(Tabla21[[#This Row],[Fecha final]]),Tabla20[#All],7,FALSE)</f>
        <v>0</v>
      </c>
      <c r="N14" s="16">
        <f>YEAR(Tabla21[[#This Row],[Fecha final]])</f>
        <v>2021</v>
      </c>
    </row>
    <row r="15" spans="1:14">
      <c r="A15" s="17">
        <v>44227</v>
      </c>
      <c r="B15" s="16" t="s">
        <v>47</v>
      </c>
      <c r="C15" s="16">
        <v>28</v>
      </c>
      <c r="D15" s="16" t="s">
        <v>42</v>
      </c>
      <c r="E15" s="16">
        <v>0</v>
      </c>
      <c r="F15" s="16">
        <v>0</v>
      </c>
      <c r="G15" s="16">
        <v>0</v>
      </c>
      <c r="H15" s="16">
        <f>Tabla21[[#This Row],[P1 + P4]]*VLOOKUP(MONTH(Tabla21[[#This Row],[Fecha final]]),Tabla20[#All],2,FALSE)</f>
        <v>0</v>
      </c>
      <c r="I15" s="16">
        <f>Tabla21[[#This Row],[P2 + P5]]*VLOOKUP(MONTH(Tabla21[[#This Row],[Fecha final]]),Tabla20[#All],3,FALSE)</f>
        <v>0</v>
      </c>
      <c r="J15" s="16">
        <f>(Tabla21[[#This Row],[P3 + P6]])*VLOOKUP(MONTH(Tabla21[[#This Row],[Fecha final]]),Tabla20[#All],4,FALSE)</f>
        <v>0</v>
      </c>
      <c r="K15" s="16">
        <f>Tabla21[[#This Row],[P1 + P4]]*VLOOKUP(MONTH(Tabla21[[#This Row],[Fecha final]]),Tabla20[#All],5,FALSE)</f>
        <v>0</v>
      </c>
      <c r="L15" s="16">
        <f>Tabla21[[#This Row],[P2 + P5]]*VLOOKUP(MONTH(Tabla21[[#This Row],[Fecha final]]),Tabla20[#All],6,FALSE)</f>
        <v>0</v>
      </c>
      <c r="M15" s="16">
        <f>Tabla21[[#This Row],[P3 + P6]]*VLOOKUP(MONTH(Tabla21[[#This Row],[Fecha final]]),Tabla20[#All],7,FALSE)</f>
        <v>0</v>
      </c>
      <c r="N15" s="16">
        <f>YEAR(Tabla21[[#This Row],[Fecha final]])</f>
        <v>2021</v>
      </c>
    </row>
    <row r="16" spans="1:14">
      <c r="A16" s="17">
        <v>44255</v>
      </c>
      <c r="B16" s="16" t="s">
        <v>136</v>
      </c>
      <c r="C16" s="16">
        <v>36</v>
      </c>
      <c r="D16" s="16" t="s">
        <v>42</v>
      </c>
      <c r="E16" s="16">
        <v>0</v>
      </c>
      <c r="F16" s="16">
        <v>0</v>
      </c>
      <c r="G16" s="16">
        <v>0</v>
      </c>
      <c r="H16" s="16">
        <f>Tabla21[[#This Row],[P1 + P4]]*VLOOKUP(MONTH(Tabla21[[#This Row],[Fecha final]]),Tabla20[#All],2,FALSE)</f>
        <v>0</v>
      </c>
      <c r="I16" s="16">
        <f>Tabla21[[#This Row],[P2 + P5]]*VLOOKUP(MONTH(Tabla21[[#This Row],[Fecha final]]),Tabla20[#All],3,FALSE)</f>
        <v>0</v>
      </c>
      <c r="J16" s="16">
        <f>(Tabla21[[#This Row],[P3 + P6]])*VLOOKUP(MONTH(Tabla21[[#This Row],[Fecha final]]),Tabla20[#All],4,FALSE)</f>
        <v>0</v>
      </c>
      <c r="K16" s="16">
        <f>Tabla21[[#This Row],[P1 + P4]]*VLOOKUP(MONTH(Tabla21[[#This Row],[Fecha final]]),Tabla20[#All],5,FALSE)</f>
        <v>0</v>
      </c>
      <c r="L16" s="16">
        <f>Tabla21[[#This Row],[P2 + P5]]*VLOOKUP(MONTH(Tabla21[[#This Row],[Fecha final]]),Tabla20[#All],6,FALSE)</f>
        <v>0</v>
      </c>
      <c r="M16" s="16">
        <f>Tabla21[[#This Row],[P3 + P6]]*VLOOKUP(MONTH(Tabla21[[#This Row],[Fecha final]]),Tabla20[#All],7,FALSE)</f>
        <v>0</v>
      </c>
      <c r="N16" s="16">
        <f>YEAR(Tabla21[[#This Row],[Fecha final]])</f>
        <v>2021</v>
      </c>
    </row>
    <row r="17" spans="1:14">
      <c r="A17" s="17">
        <v>44291</v>
      </c>
      <c r="B17" s="16" t="s">
        <v>50</v>
      </c>
      <c r="C17" s="16">
        <v>25</v>
      </c>
      <c r="D17" s="16" t="s">
        <v>42</v>
      </c>
      <c r="E17" s="16">
        <v>0</v>
      </c>
      <c r="F17" s="16">
        <v>0</v>
      </c>
      <c r="G17" s="16">
        <v>0</v>
      </c>
      <c r="H17" s="16">
        <f>Tabla21[[#This Row],[P1 + P4]]*VLOOKUP(MONTH(Tabla21[[#This Row],[Fecha final]]),Tabla20[#All],2,FALSE)</f>
        <v>0</v>
      </c>
      <c r="I17" s="16">
        <f>Tabla21[[#This Row],[P2 + P5]]*VLOOKUP(MONTH(Tabla21[[#This Row],[Fecha final]]),Tabla20[#All],3,FALSE)</f>
        <v>0</v>
      </c>
      <c r="J17" s="16">
        <f>(Tabla21[[#This Row],[P3 + P6]])*VLOOKUP(MONTH(Tabla21[[#This Row],[Fecha final]]),Tabla20[#All],4,FALSE)</f>
        <v>0</v>
      </c>
      <c r="K17" s="16">
        <f>Tabla21[[#This Row],[P1 + P4]]*VLOOKUP(MONTH(Tabla21[[#This Row],[Fecha final]]),Tabla20[#All],5,FALSE)</f>
        <v>0</v>
      </c>
      <c r="L17" s="16">
        <f>Tabla21[[#This Row],[P2 + P5]]*VLOOKUP(MONTH(Tabla21[[#This Row],[Fecha final]]),Tabla20[#All],6,FALSE)</f>
        <v>0</v>
      </c>
      <c r="M17" s="16">
        <f>Tabla21[[#This Row],[P3 + P6]]*VLOOKUP(MONTH(Tabla21[[#This Row],[Fecha final]]),Tabla20[#All],7,FALSE)</f>
        <v>0</v>
      </c>
      <c r="N17" s="16">
        <f>YEAR(Tabla21[[#This Row],[Fecha final]])</f>
        <v>2021</v>
      </c>
    </row>
    <row r="18" spans="1:14">
      <c r="A18" s="17">
        <v>44316</v>
      </c>
      <c r="B18" s="16" t="s">
        <v>51</v>
      </c>
      <c r="C18" s="16">
        <v>31</v>
      </c>
      <c r="D18" s="16" t="s">
        <v>42</v>
      </c>
      <c r="E18" s="16">
        <v>0</v>
      </c>
      <c r="F18" s="16">
        <v>0</v>
      </c>
      <c r="G18" s="16">
        <v>0</v>
      </c>
      <c r="H18" s="16">
        <f>Tabla21[[#This Row],[P1 + P4]]*VLOOKUP(MONTH(Tabla21[[#This Row],[Fecha final]]),Tabla20[#All],2,FALSE)</f>
        <v>0</v>
      </c>
      <c r="I18" s="16">
        <f>Tabla21[[#This Row],[P2 + P5]]*VLOOKUP(MONTH(Tabla21[[#This Row],[Fecha final]]),Tabla20[#All],3,FALSE)</f>
        <v>0</v>
      </c>
      <c r="J18" s="16">
        <f>(Tabla21[[#This Row],[P3 + P6]])*VLOOKUP(MONTH(Tabla21[[#This Row],[Fecha final]]),Tabla20[#All],4,FALSE)</f>
        <v>0</v>
      </c>
      <c r="K18" s="16">
        <f>Tabla21[[#This Row],[P1 + P4]]*VLOOKUP(MONTH(Tabla21[[#This Row],[Fecha final]]),Tabla20[#All],5,FALSE)</f>
        <v>0</v>
      </c>
      <c r="L18" s="16">
        <f>Tabla21[[#This Row],[P2 + P5]]*VLOOKUP(MONTH(Tabla21[[#This Row],[Fecha final]]),Tabla20[#All],6,FALSE)</f>
        <v>0</v>
      </c>
      <c r="M18" s="16">
        <f>Tabla21[[#This Row],[P3 + P6]]*VLOOKUP(MONTH(Tabla21[[#This Row],[Fecha final]]),Tabla20[#All],7,FALSE)</f>
        <v>0</v>
      </c>
      <c r="N18" s="16">
        <f>YEAR(Tabla21[[#This Row],[Fecha final]])</f>
        <v>2021</v>
      </c>
    </row>
    <row r="19" spans="1:14">
      <c r="A19" s="17">
        <v>44347</v>
      </c>
      <c r="B19" s="16" t="s">
        <v>52</v>
      </c>
      <c r="C19" s="16">
        <v>30</v>
      </c>
      <c r="D19" s="16" t="s">
        <v>42</v>
      </c>
      <c r="E19" s="16">
        <v>0</v>
      </c>
      <c r="F19" s="16">
        <v>0</v>
      </c>
      <c r="G19" s="16">
        <v>0</v>
      </c>
      <c r="H19" s="16">
        <f>Tabla21[[#This Row],[P1 + P4]]*VLOOKUP(MONTH(Tabla21[[#This Row],[Fecha final]]),Tabla20[#All],2,FALSE)</f>
        <v>0</v>
      </c>
      <c r="I19" s="16">
        <f>Tabla21[[#This Row],[P2 + P5]]*VLOOKUP(MONTH(Tabla21[[#This Row],[Fecha final]]),Tabla20[#All],3,FALSE)</f>
        <v>0</v>
      </c>
      <c r="J19" s="16">
        <f>(Tabla21[[#This Row],[P3 + P6]])*VLOOKUP(MONTH(Tabla21[[#This Row],[Fecha final]]),Tabla20[#All],4,FALSE)</f>
        <v>0</v>
      </c>
      <c r="K19" s="16">
        <f>Tabla21[[#This Row],[P1 + P4]]*VLOOKUP(MONTH(Tabla21[[#This Row],[Fecha final]]),Tabla20[#All],5,FALSE)</f>
        <v>0</v>
      </c>
      <c r="L19" s="16">
        <f>Tabla21[[#This Row],[P2 + P5]]*VLOOKUP(MONTH(Tabla21[[#This Row],[Fecha final]]),Tabla20[#All],6,FALSE)</f>
        <v>0</v>
      </c>
      <c r="M19" s="16">
        <f>Tabla21[[#This Row],[P3 + P6]]*VLOOKUP(MONTH(Tabla21[[#This Row],[Fecha final]]),Tabla20[#All],7,FALSE)</f>
        <v>0</v>
      </c>
      <c r="N19" s="16">
        <f>YEAR(Tabla21[[#This Row],[Fecha final]])</f>
        <v>2021</v>
      </c>
    </row>
    <row r="20" spans="1:14">
      <c r="A20" s="17">
        <v>44377</v>
      </c>
      <c r="B20" s="16" t="s">
        <v>53</v>
      </c>
      <c r="C20" s="16">
        <v>31</v>
      </c>
      <c r="D20" s="16" t="s">
        <v>42</v>
      </c>
      <c r="E20" s="16">
        <v>0</v>
      </c>
      <c r="F20" s="16">
        <v>0</v>
      </c>
      <c r="G20" s="16">
        <v>0</v>
      </c>
      <c r="H20" s="16">
        <f>Tabla21[[#This Row],[P1 + P4]]*VLOOKUP(MONTH(Tabla21[[#This Row],[Fecha final]]),Tabla20[#All],2,FALSE)</f>
        <v>0</v>
      </c>
      <c r="I20" s="16">
        <f>Tabla21[[#This Row],[P2 + P5]]*VLOOKUP(MONTH(Tabla21[[#This Row],[Fecha final]]),Tabla20[#All],3,FALSE)</f>
        <v>0</v>
      </c>
      <c r="J20" s="16">
        <f>(Tabla21[[#This Row],[P3 + P6]])*VLOOKUP(MONTH(Tabla21[[#This Row],[Fecha final]]),Tabla20[#All],4,FALSE)</f>
        <v>0</v>
      </c>
      <c r="K20" s="16">
        <f>Tabla21[[#This Row],[P1 + P4]]*VLOOKUP(MONTH(Tabla21[[#This Row],[Fecha final]]),Tabla20[#All],5,FALSE)</f>
        <v>0</v>
      </c>
      <c r="L20" s="16">
        <f>Tabla21[[#This Row],[P2 + P5]]*VLOOKUP(MONTH(Tabla21[[#This Row],[Fecha final]]),Tabla20[#All],6,FALSE)</f>
        <v>0</v>
      </c>
      <c r="M20" s="16">
        <f>Tabla21[[#This Row],[P3 + P6]]*VLOOKUP(MONTH(Tabla21[[#This Row],[Fecha final]]),Tabla20[#All],7,FALSE)</f>
        <v>0</v>
      </c>
      <c r="N20" s="16">
        <f>YEAR(Tabla21[[#This Row],[Fecha final]])</f>
        <v>2021</v>
      </c>
    </row>
    <row r="21" spans="1:14">
      <c r="A21" s="17">
        <v>44408</v>
      </c>
      <c r="B21" s="16" t="s">
        <v>54</v>
      </c>
      <c r="C21" s="16">
        <v>31</v>
      </c>
      <c r="D21" s="16" t="s">
        <v>42</v>
      </c>
      <c r="E21" s="16">
        <v>0</v>
      </c>
      <c r="F21" s="16">
        <v>0</v>
      </c>
      <c r="G21" s="16">
        <v>0</v>
      </c>
      <c r="H21" s="16">
        <f>Tabla21[[#This Row],[P1 + P4]]*VLOOKUP(MONTH(Tabla21[[#This Row],[Fecha final]]),Tabla20[#All],2,FALSE)</f>
        <v>0</v>
      </c>
      <c r="I21" s="16">
        <f>Tabla21[[#This Row],[P2 + P5]]*VLOOKUP(MONTH(Tabla21[[#This Row],[Fecha final]]),Tabla20[#All],3,FALSE)</f>
        <v>0</v>
      </c>
      <c r="J21" s="16">
        <f>(Tabla21[[#This Row],[P3 + P6]])*VLOOKUP(MONTH(Tabla21[[#This Row],[Fecha final]]),Tabla20[#All],4,FALSE)</f>
        <v>0</v>
      </c>
      <c r="K21" s="16">
        <f>Tabla21[[#This Row],[P1 + P4]]*VLOOKUP(MONTH(Tabla21[[#This Row],[Fecha final]]),Tabla20[#All],5,FALSE)</f>
        <v>0</v>
      </c>
      <c r="L21" s="16">
        <f>Tabla21[[#This Row],[P2 + P5]]*VLOOKUP(MONTH(Tabla21[[#This Row],[Fecha final]]),Tabla20[#All],6,FALSE)</f>
        <v>0</v>
      </c>
      <c r="M21" s="16">
        <f>Tabla21[[#This Row],[P3 + P6]]*VLOOKUP(MONTH(Tabla21[[#This Row],[Fecha final]]),Tabla20[#All],7,FALSE)</f>
        <v>0</v>
      </c>
      <c r="N21" s="16">
        <f>YEAR(Tabla21[[#This Row],[Fecha final]])</f>
        <v>2021</v>
      </c>
    </row>
    <row r="22" spans="1:14">
      <c r="A22" s="17">
        <v>44439</v>
      </c>
      <c r="B22" s="16" t="s">
        <v>55</v>
      </c>
      <c r="C22" s="16">
        <v>30</v>
      </c>
      <c r="D22" s="16" t="s">
        <v>42</v>
      </c>
      <c r="E22" s="16">
        <v>0</v>
      </c>
      <c r="F22" s="16">
        <v>0</v>
      </c>
      <c r="G22" s="16">
        <v>0</v>
      </c>
      <c r="H22" s="16">
        <f>Tabla21[[#This Row],[P1 + P4]]*VLOOKUP(MONTH(Tabla21[[#This Row],[Fecha final]]),Tabla20[#All],2,FALSE)</f>
        <v>0</v>
      </c>
      <c r="I22" s="16">
        <f>Tabla21[[#This Row],[P2 + P5]]*VLOOKUP(MONTH(Tabla21[[#This Row],[Fecha final]]),Tabla20[#All],3,FALSE)</f>
        <v>0</v>
      </c>
      <c r="J22" s="16">
        <f>(Tabla21[[#This Row],[P3 + P6]])*VLOOKUP(MONTH(Tabla21[[#This Row],[Fecha final]]),Tabla20[#All],4,FALSE)</f>
        <v>0</v>
      </c>
      <c r="K22" s="16">
        <f>Tabla21[[#This Row],[P1 + P4]]*VLOOKUP(MONTH(Tabla21[[#This Row],[Fecha final]]),Tabla20[#All],5,FALSE)</f>
        <v>0</v>
      </c>
      <c r="L22" s="16">
        <f>Tabla21[[#This Row],[P2 + P5]]*VLOOKUP(MONTH(Tabla21[[#This Row],[Fecha final]]),Tabla20[#All],6,FALSE)</f>
        <v>0</v>
      </c>
      <c r="M22" s="16">
        <f>Tabla21[[#This Row],[P3 + P6]]*VLOOKUP(MONTH(Tabla21[[#This Row],[Fecha final]]),Tabla20[#All],7,FALSE)</f>
        <v>0</v>
      </c>
      <c r="N22" s="16">
        <f>YEAR(Tabla21[[#This Row],[Fecha final]])</f>
        <v>2021</v>
      </c>
    </row>
    <row r="23" spans="1:14">
      <c r="A23" s="17">
        <v>44469</v>
      </c>
      <c r="B23" s="16" t="s">
        <v>57</v>
      </c>
      <c r="C23" s="16">
        <v>31</v>
      </c>
      <c r="D23" s="16" t="s">
        <v>42</v>
      </c>
      <c r="E23" s="16">
        <v>0</v>
      </c>
      <c r="F23" s="16">
        <v>0</v>
      </c>
      <c r="G23" s="16">
        <v>0</v>
      </c>
      <c r="H23" s="16">
        <f>Tabla21[[#This Row],[P1 + P4]]*VLOOKUP(MONTH(Tabla21[[#This Row],[Fecha final]]),Tabla20[#All],2,FALSE)</f>
        <v>0</v>
      </c>
      <c r="I23" s="16">
        <f>Tabla21[[#This Row],[P2 + P5]]*VLOOKUP(MONTH(Tabla21[[#This Row],[Fecha final]]),Tabla20[#All],3,FALSE)</f>
        <v>0</v>
      </c>
      <c r="J23" s="16">
        <f>(Tabla21[[#This Row],[P3 + P6]])*VLOOKUP(MONTH(Tabla21[[#This Row],[Fecha final]]),Tabla20[#All],4,FALSE)</f>
        <v>0</v>
      </c>
      <c r="K23" s="16">
        <f>Tabla21[[#This Row],[P1 + P4]]*VLOOKUP(MONTH(Tabla21[[#This Row],[Fecha final]]),Tabla20[#All],5,FALSE)</f>
        <v>0</v>
      </c>
      <c r="L23" s="16">
        <f>Tabla21[[#This Row],[P2 + P5]]*VLOOKUP(MONTH(Tabla21[[#This Row],[Fecha final]]),Tabla20[#All],6,FALSE)</f>
        <v>0</v>
      </c>
      <c r="M23" s="16">
        <f>Tabla21[[#This Row],[P3 + P6]]*VLOOKUP(MONTH(Tabla21[[#This Row],[Fecha final]]),Tabla20[#All],7,FALSE)</f>
        <v>0</v>
      </c>
      <c r="N23" s="16">
        <f>YEAR(Tabla21[[#This Row],[Fecha final]])</f>
        <v>2021</v>
      </c>
    </row>
    <row r="24" spans="1:14">
      <c r="A24" s="17">
        <v>44500</v>
      </c>
      <c r="B24" s="16" t="s">
        <v>58</v>
      </c>
      <c r="C24" s="16">
        <v>30</v>
      </c>
      <c r="D24" s="16" t="s">
        <v>42</v>
      </c>
      <c r="E24" s="16">
        <v>0</v>
      </c>
      <c r="F24" s="16">
        <v>0</v>
      </c>
      <c r="G24" s="16">
        <v>0</v>
      </c>
      <c r="H24" s="16">
        <f>Tabla21[[#This Row],[P1 + P4]]*VLOOKUP(MONTH(Tabla21[[#This Row],[Fecha final]]),Tabla20[#All],2,FALSE)</f>
        <v>0</v>
      </c>
      <c r="I24" s="16">
        <f>Tabla21[[#This Row],[P2 + P5]]*VLOOKUP(MONTH(Tabla21[[#This Row],[Fecha final]]),Tabla20[#All],3,FALSE)</f>
        <v>0</v>
      </c>
      <c r="J24" s="16">
        <f>(Tabla21[[#This Row],[P3 + P6]])*VLOOKUP(MONTH(Tabla21[[#This Row],[Fecha final]]),Tabla20[#All],4,FALSE)</f>
        <v>0</v>
      </c>
      <c r="K24" s="16">
        <f>Tabla21[[#This Row],[P1 + P4]]*VLOOKUP(MONTH(Tabla21[[#This Row],[Fecha final]]),Tabla20[#All],5,FALSE)</f>
        <v>0</v>
      </c>
      <c r="L24" s="16">
        <f>Tabla21[[#This Row],[P2 + P5]]*VLOOKUP(MONTH(Tabla21[[#This Row],[Fecha final]]),Tabla20[#All],6,FALSE)</f>
        <v>0</v>
      </c>
      <c r="M24" s="16">
        <f>Tabla21[[#This Row],[P3 + P6]]*VLOOKUP(MONTH(Tabla21[[#This Row],[Fecha final]]),Tabla20[#All],7,FALSE)</f>
        <v>0</v>
      </c>
      <c r="N24" s="16">
        <f>YEAR(Tabla21[[#This Row],[Fecha final]])</f>
        <v>2021</v>
      </c>
    </row>
    <row r="25" spans="1:14">
      <c r="A25" s="17">
        <v>44530</v>
      </c>
      <c r="B25" s="16" t="s">
        <v>59</v>
      </c>
      <c r="C25" s="16">
        <v>2</v>
      </c>
      <c r="D25" s="16" t="s">
        <v>42</v>
      </c>
      <c r="E25" s="16">
        <v>0</v>
      </c>
      <c r="F25" s="16">
        <v>0</v>
      </c>
      <c r="G25" s="16">
        <v>0</v>
      </c>
      <c r="H25" s="16">
        <f>Tabla21[[#This Row],[P1 + P4]]*VLOOKUP(MONTH(Tabla21[[#This Row],[Fecha final]]),Tabla20[#All],2,FALSE)</f>
        <v>0</v>
      </c>
      <c r="I25" s="16">
        <f>Tabla21[[#This Row],[P2 + P5]]*VLOOKUP(MONTH(Tabla21[[#This Row],[Fecha final]]),Tabla20[#All],3,FALSE)</f>
        <v>0</v>
      </c>
      <c r="J25" s="16">
        <f>(Tabla21[[#This Row],[P3 + P6]])*VLOOKUP(MONTH(Tabla21[[#This Row],[Fecha final]]),Tabla20[#All],4,FALSE)</f>
        <v>0</v>
      </c>
      <c r="K25" s="16">
        <f>Tabla21[[#This Row],[P1 + P4]]*VLOOKUP(MONTH(Tabla21[[#This Row],[Fecha final]]),Tabla20[#All],5,FALSE)</f>
        <v>0</v>
      </c>
      <c r="L25" s="16">
        <f>Tabla21[[#This Row],[P2 + P5]]*VLOOKUP(MONTH(Tabla21[[#This Row],[Fecha final]]),Tabla20[#All],6,FALSE)</f>
        <v>0</v>
      </c>
      <c r="M25" s="16">
        <f>Tabla21[[#This Row],[P3 + P6]]*VLOOKUP(MONTH(Tabla21[[#This Row],[Fecha final]]),Tabla20[#All],7,FALSE)</f>
        <v>0</v>
      </c>
      <c r="N25" s="16">
        <f>YEAR(Tabla21[[#This Row],[Fecha final]])</f>
        <v>2021</v>
      </c>
    </row>
    <row r="26" spans="1:14">
      <c r="A26" s="17">
        <v>44532</v>
      </c>
      <c r="B26" s="16" t="s">
        <v>60</v>
      </c>
      <c r="C26" s="16">
        <v>29</v>
      </c>
      <c r="D26" s="16" t="s">
        <v>42</v>
      </c>
      <c r="E26" s="16">
        <v>0</v>
      </c>
      <c r="F26" s="16">
        <v>0</v>
      </c>
      <c r="G26" s="16">
        <v>0</v>
      </c>
      <c r="H26" s="16">
        <f>Tabla21[[#This Row],[P1 + P4]]*VLOOKUP(MONTH(Tabla21[[#This Row],[Fecha final]]),Tabla20[#All],2,FALSE)</f>
        <v>0</v>
      </c>
      <c r="I26" s="16">
        <f>Tabla21[[#This Row],[P2 + P5]]*VLOOKUP(MONTH(Tabla21[[#This Row],[Fecha final]]),Tabla20[#All],3,FALSE)</f>
        <v>0</v>
      </c>
      <c r="J26" s="16">
        <f>(Tabla21[[#This Row],[P3 + P6]])*VLOOKUP(MONTH(Tabla21[[#This Row],[Fecha final]]),Tabla20[#All],4,FALSE)</f>
        <v>0</v>
      </c>
      <c r="K26" s="16">
        <f>Tabla21[[#This Row],[P1 + P4]]*VLOOKUP(MONTH(Tabla21[[#This Row],[Fecha final]]),Tabla20[#All],5,FALSE)</f>
        <v>0</v>
      </c>
      <c r="L26" s="16">
        <f>Tabla21[[#This Row],[P2 + P5]]*VLOOKUP(MONTH(Tabla21[[#This Row],[Fecha final]]),Tabla20[#All],6,FALSE)</f>
        <v>0</v>
      </c>
      <c r="M26" s="16">
        <f>Tabla21[[#This Row],[P3 + P6]]*VLOOKUP(MONTH(Tabla21[[#This Row],[Fecha final]]),Tabla20[#All],7,FALSE)</f>
        <v>0</v>
      </c>
      <c r="N26" s="16">
        <f>YEAR(Tabla21[[#This Row],[Fecha final]])</f>
        <v>2021</v>
      </c>
    </row>
    <row r="27" spans="1:14">
      <c r="A27" s="17">
        <v>44561</v>
      </c>
      <c r="B27" s="16" t="s">
        <v>61</v>
      </c>
      <c r="C27" s="16">
        <v>31</v>
      </c>
      <c r="D27" s="16" t="s">
        <v>42</v>
      </c>
      <c r="E27" s="16">
        <v>0</v>
      </c>
      <c r="F27" s="16">
        <v>0</v>
      </c>
      <c r="G27" s="16">
        <v>0</v>
      </c>
      <c r="H27" s="16">
        <f>Tabla21[[#This Row],[P1 + P4]]*VLOOKUP(MONTH(Tabla21[[#This Row],[Fecha final]]),Tabla20[#All],2,FALSE)</f>
        <v>0</v>
      </c>
      <c r="I27" s="16">
        <f>Tabla21[[#This Row],[P2 + P5]]*VLOOKUP(MONTH(Tabla21[[#This Row],[Fecha final]]),Tabla20[#All],3,FALSE)</f>
        <v>0</v>
      </c>
      <c r="J27" s="16">
        <f>(Tabla21[[#This Row],[P3 + P6]])*VLOOKUP(MONTH(Tabla21[[#This Row],[Fecha final]]),Tabla20[#All],4,FALSE)</f>
        <v>0</v>
      </c>
      <c r="K27" s="16">
        <f>Tabla21[[#This Row],[P1 + P4]]*VLOOKUP(MONTH(Tabla21[[#This Row],[Fecha final]]),Tabla20[#All],5,FALSE)</f>
        <v>0</v>
      </c>
      <c r="L27" s="16">
        <f>Tabla21[[#This Row],[P2 + P5]]*VLOOKUP(MONTH(Tabla21[[#This Row],[Fecha final]]),Tabla20[#All],6,FALSE)</f>
        <v>0</v>
      </c>
      <c r="M27" s="16">
        <f>Tabla21[[#This Row],[P3 + P6]]*VLOOKUP(MONTH(Tabla21[[#This Row],[Fecha final]]),Tabla20[#All],7,FALSE)</f>
        <v>0</v>
      </c>
      <c r="N27" s="16">
        <f>YEAR(Tabla21[[#This Row],[Fecha final]])</f>
        <v>2022</v>
      </c>
    </row>
    <row r="28" spans="1:14">
      <c r="A28" s="17">
        <v>44592</v>
      </c>
      <c r="B28" s="16" t="s">
        <v>62</v>
      </c>
      <c r="C28" s="16">
        <v>28</v>
      </c>
      <c r="D28" s="16" t="s">
        <v>42</v>
      </c>
      <c r="E28" s="16">
        <v>0</v>
      </c>
      <c r="F28" s="16">
        <v>0</v>
      </c>
      <c r="G28" s="16">
        <v>0</v>
      </c>
      <c r="H28" s="16">
        <f>Tabla21[[#This Row],[P1 + P4]]*VLOOKUP(MONTH(Tabla21[[#This Row],[Fecha final]]),Tabla20[#All],2,FALSE)</f>
        <v>0</v>
      </c>
      <c r="I28" s="16">
        <f>Tabla21[[#This Row],[P2 + P5]]*VLOOKUP(MONTH(Tabla21[[#This Row],[Fecha final]]),Tabla20[#All],3,FALSE)</f>
        <v>0</v>
      </c>
      <c r="J28" s="16">
        <f>(Tabla21[[#This Row],[P3 + P6]])*VLOOKUP(MONTH(Tabla21[[#This Row],[Fecha final]]),Tabla20[#All],4,FALSE)</f>
        <v>0</v>
      </c>
      <c r="K28" s="16">
        <f>Tabla21[[#This Row],[P1 + P4]]*VLOOKUP(MONTH(Tabla21[[#This Row],[Fecha final]]),Tabla20[#All],5,FALSE)</f>
        <v>0</v>
      </c>
      <c r="L28" s="16">
        <f>Tabla21[[#This Row],[P2 + P5]]*VLOOKUP(MONTH(Tabla21[[#This Row],[Fecha final]]),Tabla20[#All],6,FALSE)</f>
        <v>0</v>
      </c>
      <c r="M28" s="16">
        <f>Tabla21[[#This Row],[P3 + P6]]*VLOOKUP(MONTH(Tabla21[[#This Row],[Fecha final]]),Tabla20[#All],7,FALSE)</f>
        <v>0</v>
      </c>
      <c r="N28" s="16">
        <f>YEAR(Tabla21[[#This Row],[Fecha final]])</f>
        <v>2022</v>
      </c>
    </row>
    <row r="29" spans="1:14">
      <c r="A29" s="17">
        <v>44620</v>
      </c>
      <c r="B29" s="16" t="s">
        <v>63</v>
      </c>
      <c r="C29" s="16">
        <v>31</v>
      </c>
      <c r="D29" s="16" t="s">
        <v>42</v>
      </c>
      <c r="E29" s="16">
        <v>0</v>
      </c>
      <c r="F29" s="16">
        <v>0</v>
      </c>
      <c r="G29" s="16">
        <v>0</v>
      </c>
      <c r="H29" s="16">
        <f>Tabla21[[#This Row],[P1 + P4]]*VLOOKUP(MONTH(Tabla21[[#This Row],[Fecha final]]),Tabla20[#All],2,FALSE)</f>
        <v>0</v>
      </c>
      <c r="I29" s="16">
        <f>Tabla21[[#This Row],[P2 + P5]]*VLOOKUP(MONTH(Tabla21[[#This Row],[Fecha final]]),Tabla20[#All],3,FALSE)</f>
        <v>0</v>
      </c>
      <c r="J29" s="16">
        <f>(Tabla21[[#This Row],[P3 + P6]])*VLOOKUP(MONTH(Tabla21[[#This Row],[Fecha final]]),Tabla20[#All],4,FALSE)</f>
        <v>0</v>
      </c>
      <c r="K29" s="16">
        <f>Tabla21[[#This Row],[P1 + P4]]*VLOOKUP(MONTH(Tabla21[[#This Row],[Fecha final]]),Tabla20[#All],5,FALSE)</f>
        <v>0</v>
      </c>
      <c r="L29" s="16">
        <f>Tabla21[[#This Row],[P2 + P5]]*VLOOKUP(MONTH(Tabla21[[#This Row],[Fecha final]]),Tabla20[#All],6,FALSE)</f>
        <v>0</v>
      </c>
      <c r="M29" s="16">
        <f>Tabla21[[#This Row],[P3 + P6]]*VLOOKUP(MONTH(Tabla21[[#This Row],[Fecha final]]),Tabla20[#All],7,FALSE)</f>
        <v>0</v>
      </c>
      <c r="N29" s="16">
        <f>YEAR(Tabla21[[#This Row],[Fecha final]])</f>
        <v>2022</v>
      </c>
    </row>
    <row r="30" spans="1:14">
      <c r="A30" s="17">
        <v>44651</v>
      </c>
      <c r="B30" s="16" t="s">
        <v>65</v>
      </c>
      <c r="C30" s="16">
        <v>30</v>
      </c>
      <c r="D30" s="16" t="s">
        <v>42</v>
      </c>
      <c r="E30" s="16">
        <v>0</v>
      </c>
      <c r="F30" s="16">
        <v>0</v>
      </c>
      <c r="G30" s="16">
        <v>0</v>
      </c>
      <c r="H30" s="16">
        <f>Tabla21[[#This Row],[P1 + P4]]*VLOOKUP(MONTH(Tabla21[[#This Row],[Fecha final]]),Tabla20[#All],2,FALSE)</f>
        <v>0</v>
      </c>
      <c r="I30" s="16">
        <f>Tabla21[[#This Row],[P2 + P5]]*VLOOKUP(MONTH(Tabla21[[#This Row],[Fecha final]]),Tabla20[#All],3,FALSE)</f>
        <v>0</v>
      </c>
      <c r="J30" s="16">
        <f>(Tabla21[[#This Row],[P3 + P6]])*VLOOKUP(MONTH(Tabla21[[#This Row],[Fecha final]]),Tabla20[#All],4,FALSE)</f>
        <v>0</v>
      </c>
      <c r="K30" s="16">
        <f>Tabla21[[#This Row],[P1 + P4]]*VLOOKUP(MONTH(Tabla21[[#This Row],[Fecha final]]),Tabla20[#All],5,FALSE)</f>
        <v>0</v>
      </c>
      <c r="L30" s="16">
        <f>Tabla21[[#This Row],[P2 + P5]]*VLOOKUP(MONTH(Tabla21[[#This Row],[Fecha final]]),Tabla20[#All],6,FALSE)</f>
        <v>0</v>
      </c>
      <c r="M30" s="16">
        <f>Tabla21[[#This Row],[P3 + P6]]*VLOOKUP(MONTH(Tabla21[[#This Row],[Fecha final]]),Tabla20[#All],7,FALSE)</f>
        <v>0</v>
      </c>
      <c r="N30" s="16">
        <f>YEAR(Tabla21[[#This Row],[Fecha final]])</f>
        <v>2022</v>
      </c>
    </row>
    <row r="31" spans="1:14">
      <c r="A31" s="17">
        <v>44681</v>
      </c>
      <c r="B31" s="16" t="s">
        <v>66</v>
      </c>
      <c r="C31" s="16">
        <v>31</v>
      </c>
      <c r="D31" s="16" t="s">
        <v>42</v>
      </c>
      <c r="E31" s="16">
        <v>0</v>
      </c>
      <c r="F31" s="16">
        <v>0</v>
      </c>
      <c r="G31" s="16">
        <v>0</v>
      </c>
      <c r="H31" s="16">
        <f>Tabla21[[#This Row],[P1 + P4]]*VLOOKUP(MONTH(Tabla21[[#This Row],[Fecha final]]),Tabla20[#All],2,FALSE)</f>
        <v>0</v>
      </c>
      <c r="I31" s="16">
        <f>Tabla21[[#This Row],[P2 + P5]]*VLOOKUP(MONTH(Tabla21[[#This Row],[Fecha final]]),Tabla20[#All],3,FALSE)</f>
        <v>0</v>
      </c>
      <c r="J31" s="16">
        <f>(Tabla21[[#This Row],[P3 + P6]])*VLOOKUP(MONTH(Tabla21[[#This Row],[Fecha final]]),Tabla20[#All],4,FALSE)</f>
        <v>0</v>
      </c>
      <c r="K31" s="16">
        <f>Tabla21[[#This Row],[P1 + P4]]*VLOOKUP(MONTH(Tabla21[[#This Row],[Fecha final]]),Tabla20[#All],5,FALSE)</f>
        <v>0</v>
      </c>
      <c r="L31" s="16">
        <f>Tabla21[[#This Row],[P2 + P5]]*VLOOKUP(MONTH(Tabla21[[#This Row],[Fecha final]]),Tabla20[#All],6,FALSE)</f>
        <v>0</v>
      </c>
      <c r="M31" s="16">
        <f>Tabla21[[#This Row],[P3 + P6]]*VLOOKUP(MONTH(Tabla21[[#This Row],[Fecha final]]),Tabla20[#All],7,FALSE)</f>
        <v>0</v>
      </c>
      <c r="N31" s="16">
        <f>YEAR(Tabla21[[#This Row],[Fecha final]])</f>
        <v>2022</v>
      </c>
    </row>
    <row r="32" spans="1:14">
      <c r="A32" s="17">
        <v>44712</v>
      </c>
      <c r="B32" s="16" t="s">
        <v>67</v>
      </c>
      <c r="C32" s="16">
        <v>30</v>
      </c>
      <c r="D32" s="16" t="s">
        <v>42</v>
      </c>
      <c r="E32" s="16">
        <v>0</v>
      </c>
      <c r="F32" s="16">
        <v>0</v>
      </c>
      <c r="G32" s="16">
        <v>0</v>
      </c>
      <c r="H32" s="16">
        <f>Tabla21[[#This Row],[P1 + P4]]*VLOOKUP(MONTH(Tabla21[[#This Row],[Fecha final]]),Tabla20[#All],2,FALSE)</f>
        <v>0</v>
      </c>
      <c r="I32" s="16">
        <f>Tabla21[[#This Row],[P2 + P5]]*VLOOKUP(MONTH(Tabla21[[#This Row],[Fecha final]]),Tabla20[#All],3,FALSE)</f>
        <v>0</v>
      </c>
      <c r="J32" s="16">
        <f>(Tabla21[[#This Row],[P3 + P6]])*VLOOKUP(MONTH(Tabla21[[#This Row],[Fecha final]]),Tabla20[#All],4,FALSE)</f>
        <v>0</v>
      </c>
      <c r="K32" s="16">
        <f>Tabla21[[#This Row],[P1 + P4]]*VLOOKUP(MONTH(Tabla21[[#This Row],[Fecha final]]),Tabla20[#All],5,FALSE)</f>
        <v>0</v>
      </c>
      <c r="L32" s="16">
        <f>Tabla21[[#This Row],[P2 + P5]]*VLOOKUP(MONTH(Tabla21[[#This Row],[Fecha final]]),Tabla20[#All],6,FALSE)</f>
        <v>0</v>
      </c>
      <c r="M32" s="16">
        <f>Tabla21[[#This Row],[P3 + P6]]*VLOOKUP(MONTH(Tabla21[[#This Row],[Fecha final]]),Tabla20[#All],7,FALSE)</f>
        <v>0</v>
      </c>
      <c r="N32" s="16">
        <f>YEAR(Tabla21[[#This Row],[Fecha final]])</f>
        <v>2022</v>
      </c>
    </row>
    <row r="33" spans="1:14">
      <c r="A33" s="17">
        <v>44742</v>
      </c>
      <c r="B33" s="16" t="s">
        <v>68</v>
      </c>
      <c r="C33" s="16">
        <v>31</v>
      </c>
      <c r="D33" s="16" t="s">
        <v>42</v>
      </c>
      <c r="E33" s="16">
        <v>0</v>
      </c>
      <c r="F33" s="16">
        <v>0</v>
      </c>
      <c r="G33" s="16">
        <v>0</v>
      </c>
      <c r="H33" s="16">
        <f>Tabla21[[#This Row],[P1 + P4]]*VLOOKUP(MONTH(Tabla21[[#This Row],[Fecha final]]),Tabla20[#All],2,FALSE)</f>
        <v>0</v>
      </c>
      <c r="I33" s="16">
        <f>Tabla21[[#This Row],[P2 + P5]]*VLOOKUP(MONTH(Tabla21[[#This Row],[Fecha final]]),Tabla20[#All],3,FALSE)</f>
        <v>0</v>
      </c>
      <c r="J33" s="16">
        <f>(Tabla21[[#This Row],[P3 + P6]])*VLOOKUP(MONTH(Tabla21[[#This Row],[Fecha final]]),Tabla20[#All],4,FALSE)</f>
        <v>0</v>
      </c>
      <c r="K33" s="16">
        <f>Tabla21[[#This Row],[P1 + P4]]*VLOOKUP(MONTH(Tabla21[[#This Row],[Fecha final]]),Tabla20[#All],5,FALSE)</f>
        <v>0</v>
      </c>
      <c r="L33" s="16">
        <f>Tabla21[[#This Row],[P2 + P5]]*VLOOKUP(MONTH(Tabla21[[#This Row],[Fecha final]]),Tabla20[#All],6,FALSE)</f>
        <v>0</v>
      </c>
      <c r="M33" s="16">
        <f>Tabla21[[#This Row],[P3 + P6]]*VLOOKUP(MONTH(Tabla21[[#This Row],[Fecha final]]),Tabla20[#All],7,FALSE)</f>
        <v>0</v>
      </c>
      <c r="N33" s="16">
        <f>YEAR(Tabla21[[#This Row],[Fecha final]])</f>
        <v>2022</v>
      </c>
    </row>
    <row r="34" spans="1:14">
      <c r="A34" s="17">
        <v>44773</v>
      </c>
      <c r="B34" s="16" t="s">
        <v>69</v>
      </c>
      <c r="C34" s="16">
        <v>31</v>
      </c>
      <c r="D34" s="16" t="s">
        <v>42</v>
      </c>
      <c r="E34" s="16">
        <v>0</v>
      </c>
      <c r="F34" s="16">
        <v>0</v>
      </c>
      <c r="G34" s="16">
        <v>0</v>
      </c>
      <c r="H34" s="16">
        <f>Tabla21[[#This Row],[P1 + P4]]*VLOOKUP(MONTH(Tabla21[[#This Row],[Fecha final]]),Tabla20[#All],2,FALSE)</f>
        <v>0</v>
      </c>
      <c r="I34" s="16">
        <f>Tabla21[[#This Row],[P2 + P5]]*VLOOKUP(MONTH(Tabla21[[#This Row],[Fecha final]]),Tabla20[#All],3,FALSE)</f>
        <v>0</v>
      </c>
      <c r="J34" s="16">
        <f>(Tabla21[[#This Row],[P3 + P6]])*VLOOKUP(MONTH(Tabla21[[#This Row],[Fecha final]]),Tabla20[#All],4,FALSE)</f>
        <v>0</v>
      </c>
      <c r="K34" s="16">
        <f>Tabla21[[#This Row],[P1 + P4]]*VLOOKUP(MONTH(Tabla21[[#This Row],[Fecha final]]),Tabla20[#All],5,FALSE)</f>
        <v>0</v>
      </c>
      <c r="L34" s="16">
        <f>Tabla21[[#This Row],[P2 + P5]]*VLOOKUP(MONTH(Tabla21[[#This Row],[Fecha final]]),Tabla20[#All],6,FALSE)</f>
        <v>0</v>
      </c>
      <c r="M34" s="16">
        <f>Tabla21[[#This Row],[P3 + P6]]*VLOOKUP(MONTH(Tabla21[[#This Row],[Fecha final]]),Tabla20[#All],7,FALSE)</f>
        <v>0</v>
      </c>
      <c r="N34" s="16">
        <f>YEAR(Tabla21[[#This Row],[Fecha final]])</f>
        <v>2022</v>
      </c>
    </row>
    <row r="35" spans="1:14">
      <c r="A35" s="17">
        <v>44804</v>
      </c>
      <c r="B35" s="16" t="s">
        <v>70</v>
      </c>
      <c r="C35" s="16">
        <v>30</v>
      </c>
      <c r="D35" s="16" t="s">
        <v>42</v>
      </c>
      <c r="E35" s="16">
        <v>0</v>
      </c>
      <c r="F35" s="16">
        <v>0</v>
      </c>
      <c r="G35" s="16">
        <v>0</v>
      </c>
      <c r="H35" s="16">
        <f>Tabla21[[#This Row],[P1 + P4]]*VLOOKUP(MONTH(Tabla21[[#This Row],[Fecha final]]),Tabla20[#All],2,FALSE)</f>
        <v>0</v>
      </c>
      <c r="I35" s="16">
        <f>Tabla21[[#This Row],[P2 + P5]]*VLOOKUP(MONTH(Tabla21[[#This Row],[Fecha final]]),Tabla20[#All],3,FALSE)</f>
        <v>0</v>
      </c>
      <c r="J35" s="16">
        <f>(Tabla21[[#This Row],[P3 + P6]])*VLOOKUP(MONTH(Tabla21[[#This Row],[Fecha final]]),Tabla20[#All],4,FALSE)</f>
        <v>0</v>
      </c>
      <c r="K35" s="16">
        <f>Tabla21[[#This Row],[P1 + P4]]*VLOOKUP(MONTH(Tabla21[[#This Row],[Fecha final]]),Tabla20[#All],5,FALSE)</f>
        <v>0</v>
      </c>
      <c r="L35" s="16">
        <f>Tabla21[[#This Row],[P2 + P5]]*VLOOKUP(MONTH(Tabla21[[#This Row],[Fecha final]]),Tabla20[#All],6,FALSE)</f>
        <v>0</v>
      </c>
      <c r="M35" s="16">
        <f>Tabla21[[#This Row],[P3 + P6]]*VLOOKUP(MONTH(Tabla21[[#This Row],[Fecha final]]),Tabla20[#All],7,FALSE)</f>
        <v>0</v>
      </c>
      <c r="N35" s="16">
        <f>YEAR(Tabla21[[#This Row],[Fecha final]])</f>
        <v>2022</v>
      </c>
    </row>
    <row r="36" spans="1:14">
      <c r="A36" s="17">
        <v>44834</v>
      </c>
      <c r="B36" s="16" t="s">
        <v>71</v>
      </c>
      <c r="C36" s="16">
        <v>31</v>
      </c>
      <c r="D36" s="16" t="s">
        <v>42</v>
      </c>
      <c r="E36" s="16">
        <v>0</v>
      </c>
      <c r="F36" s="16">
        <v>0</v>
      </c>
      <c r="G36" s="16">
        <v>0</v>
      </c>
      <c r="H36" s="16">
        <f>Tabla21[[#This Row],[P1 + P4]]*VLOOKUP(MONTH(Tabla21[[#This Row],[Fecha final]]),Tabla20[#All],2,FALSE)</f>
        <v>0</v>
      </c>
      <c r="I36" s="16">
        <f>Tabla21[[#This Row],[P2 + P5]]*VLOOKUP(MONTH(Tabla21[[#This Row],[Fecha final]]),Tabla20[#All],3,FALSE)</f>
        <v>0</v>
      </c>
      <c r="J36" s="16">
        <f>(Tabla21[[#This Row],[P3 + P6]])*VLOOKUP(MONTH(Tabla21[[#This Row],[Fecha final]]),Tabla20[#All],4,FALSE)</f>
        <v>0</v>
      </c>
      <c r="K36" s="16">
        <f>Tabla21[[#This Row],[P1 + P4]]*VLOOKUP(MONTH(Tabla21[[#This Row],[Fecha final]]),Tabla20[#All],5,FALSE)</f>
        <v>0</v>
      </c>
      <c r="L36" s="16">
        <f>Tabla21[[#This Row],[P2 + P5]]*VLOOKUP(MONTH(Tabla21[[#This Row],[Fecha final]]),Tabla20[#All],6,FALSE)</f>
        <v>0</v>
      </c>
      <c r="M36" s="16">
        <f>Tabla21[[#This Row],[P3 + P6]]*VLOOKUP(MONTH(Tabla21[[#This Row],[Fecha final]]),Tabla20[#All],7,FALSE)</f>
        <v>0</v>
      </c>
      <c r="N36" s="16">
        <f>YEAR(Tabla21[[#This Row],[Fecha final]])</f>
        <v>2022</v>
      </c>
    </row>
    <row r="37" spans="1:14">
      <c r="A37" s="17">
        <v>44865</v>
      </c>
      <c r="B37" s="16" t="s">
        <v>72</v>
      </c>
      <c r="C37" s="16">
        <v>30</v>
      </c>
      <c r="D37" s="16" t="s">
        <v>42</v>
      </c>
      <c r="E37" s="16">
        <v>0</v>
      </c>
      <c r="F37" s="16">
        <v>0</v>
      </c>
      <c r="G37" s="16">
        <v>0</v>
      </c>
      <c r="H37" s="16">
        <f>Tabla21[[#This Row],[P1 + P4]]*VLOOKUP(MONTH(Tabla21[[#This Row],[Fecha final]]),Tabla20[#All],2,FALSE)</f>
        <v>0</v>
      </c>
      <c r="I37" s="16">
        <f>Tabla21[[#This Row],[P2 + P5]]*VLOOKUP(MONTH(Tabla21[[#This Row],[Fecha final]]),Tabla20[#All],3,FALSE)</f>
        <v>0</v>
      </c>
      <c r="J37" s="16">
        <f>(Tabla21[[#This Row],[P3 + P6]])*VLOOKUP(MONTH(Tabla21[[#This Row],[Fecha final]]),Tabla20[#All],4,FALSE)</f>
        <v>0</v>
      </c>
      <c r="K37" s="16">
        <f>Tabla21[[#This Row],[P1 + P4]]*VLOOKUP(MONTH(Tabla21[[#This Row],[Fecha final]]),Tabla20[#All],5,FALSE)</f>
        <v>0</v>
      </c>
      <c r="L37" s="16">
        <f>Tabla21[[#This Row],[P2 + P5]]*VLOOKUP(MONTH(Tabla21[[#This Row],[Fecha final]]),Tabla20[#All],6,FALSE)</f>
        <v>0</v>
      </c>
      <c r="M37" s="16">
        <f>Tabla21[[#This Row],[P3 + P6]]*VLOOKUP(MONTH(Tabla21[[#This Row],[Fecha final]]),Tabla20[#All],7,FALSE)</f>
        <v>0</v>
      </c>
      <c r="N37" s="16">
        <f>YEAR(Tabla21[[#This Row],[Fecha final]])</f>
        <v>2022</v>
      </c>
    </row>
    <row r="38" spans="1:14">
      <c r="A38" s="17">
        <v>44895</v>
      </c>
      <c r="B38" s="16" t="s">
        <v>73</v>
      </c>
      <c r="C38" s="16">
        <v>31</v>
      </c>
      <c r="D38" s="16" t="s">
        <v>42</v>
      </c>
      <c r="E38" s="16">
        <v>0</v>
      </c>
      <c r="F38" s="16">
        <v>0</v>
      </c>
      <c r="G38" s="16">
        <v>0</v>
      </c>
      <c r="H38" s="16">
        <f>Tabla21[[#This Row],[P1 + P4]]*VLOOKUP(MONTH(Tabla21[[#This Row],[Fecha final]]),Tabla20[#All],2,FALSE)</f>
        <v>0</v>
      </c>
      <c r="I38" s="16">
        <f>Tabla21[[#This Row],[P2 + P5]]*VLOOKUP(MONTH(Tabla21[[#This Row],[Fecha final]]),Tabla20[#All],3,FALSE)</f>
        <v>0</v>
      </c>
      <c r="J38" s="16">
        <f>(Tabla21[[#This Row],[P3 + P6]])*VLOOKUP(MONTH(Tabla21[[#This Row],[Fecha final]]),Tabla20[#All],4,FALSE)</f>
        <v>0</v>
      </c>
      <c r="K38" s="16">
        <f>Tabla21[[#This Row],[P1 + P4]]*VLOOKUP(MONTH(Tabla21[[#This Row],[Fecha final]]),Tabla20[#All],5,FALSE)</f>
        <v>0</v>
      </c>
      <c r="L38" s="16">
        <f>Tabla21[[#This Row],[P2 + P5]]*VLOOKUP(MONTH(Tabla21[[#This Row],[Fecha final]]),Tabla20[#All],6,FALSE)</f>
        <v>0</v>
      </c>
      <c r="M38" s="16">
        <f>Tabla21[[#This Row],[P3 + P6]]*VLOOKUP(MONTH(Tabla21[[#This Row],[Fecha final]]),Tabla20[#All],7,FALSE)</f>
        <v>0</v>
      </c>
      <c r="N38" s="16">
        <f>YEAR(Tabla21[[#This Row],[Fecha final]])</f>
        <v>2022</v>
      </c>
    </row>
    <row r="39" spans="1:14">
      <c r="A39" s="17">
        <v>44926</v>
      </c>
      <c r="B39" s="16" t="s">
        <v>74</v>
      </c>
      <c r="C39" s="16">
        <v>31</v>
      </c>
      <c r="D39" s="16" t="s">
        <v>42</v>
      </c>
      <c r="E39" s="16">
        <v>0</v>
      </c>
      <c r="F39" s="16">
        <v>0</v>
      </c>
      <c r="G39" s="16">
        <v>0</v>
      </c>
      <c r="H39" s="16">
        <f>Tabla21[[#This Row],[P1 + P4]]*VLOOKUP(MONTH(Tabla21[[#This Row],[Fecha final]]),Tabla20[#All],2,FALSE)</f>
        <v>0</v>
      </c>
      <c r="I39" s="16">
        <f>Tabla21[[#This Row],[P2 + P5]]*VLOOKUP(MONTH(Tabla21[[#This Row],[Fecha final]]),Tabla20[#All],3,FALSE)</f>
        <v>0</v>
      </c>
      <c r="J39" s="16">
        <f>(Tabla21[[#This Row],[P3 + P6]])*VLOOKUP(MONTH(Tabla21[[#This Row],[Fecha final]]),Tabla20[#All],4,FALSE)</f>
        <v>0</v>
      </c>
      <c r="K39" s="16">
        <f>Tabla21[[#This Row],[P1 + P4]]*VLOOKUP(MONTH(Tabla21[[#This Row],[Fecha final]]),Tabla20[#All],5,FALSE)</f>
        <v>0</v>
      </c>
      <c r="L39" s="16">
        <f>Tabla21[[#This Row],[P2 + P5]]*VLOOKUP(MONTH(Tabla21[[#This Row],[Fecha final]]),Tabla20[#All],6,FALSE)</f>
        <v>0</v>
      </c>
      <c r="M39" s="16">
        <f>Tabla21[[#This Row],[P3 + P6]]*VLOOKUP(MONTH(Tabla21[[#This Row],[Fecha final]]),Tabla20[#All],7,FALSE)</f>
        <v>0</v>
      </c>
      <c r="N39" s="16">
        <f>YEAR(Tabla21[[#This Row],[Fecha final]])</f>
        <v>2023</v>
      </c>
    </row>
    <row r="40" spans="1:14">
      <c r="A40" s="17">
        <v>44957</v>
      </c>
      <c r="B40" s="16" t="s">
        <v>75</v>
      </c>
      <c r="C40" s="16">
        <v>28</v>
      </c>
      <c r="D40" s="16" t="s">
        <v>42</v>
      </c>
      <c r="E40" s="16">
        <v>0</v>
      </c>
      <c r="F40" s="16">
        <v>1</v>
      </c>
      <c r="G40" s="16">
        <v>0</v>
      </c>
      <c r="H40" s="16">
        <f>Tabla21[[#This Row],[P1 + P4]]*VLOOKUP(MONTH(Tabla21[[#This Row],[Fecha final]]),Tabla20[#All],2,FALSE)</f>
        <v>0</v>
      </c>
      <c r="I40" s="16">
        <f>Tabla21[[#This Row],[P2 + P5]]*VLOOKUP(MONTH(Tabla21[[#This Row],[Fecha final]]),Tabla20[#All],3,FALSE)</f>
        <v>1</v>
      </c>
      <c r="J40" s="16">
        <f>(Tabla21[[#This Row],[P3 + P6]])*VLOOKUP(MONTH(Tabla21[[#This Row],[Fecha final]]),Tabla20[#All],4,FALSE)</f>
        <v>0</v>
      </c>
      <c r="K40" s="16">
        <f>Tabla21[[#This Row],[P1 + P4]]*VLOOKUP(MONTH(Tabla21[[#This Row],[Fecha final]]),Tabla20[#All],5,FALSE)</f>
        <v>0</v>
      </c>
      <c r="L40" s="16">
        <f>Tabla21[[#This Row],[P2 + P5]]*VLOOKUP(MONTH(Tabla21[[#This Row],[Fecha final]]),Tabla20[#All],6,FALSE)</f>
        <v>0</v>
      </c>
      <c r="M40" s="16">
        <f>Tabla21[[#This Row],[P3 + P6]]*VLOOKUP(MONTH(Tabla21[[#This Row],[Fecha final]]),Tabla20[#All],7,FALSE)</f>
        <v>0</v>
      </c>
      <c r="N40" s="16">
        <f>YEAR(Tabla21[[#This Row],[Fecha final]])</f>
        <v>2023</v>
      </c>
    </row>
    <row r="41" spans="1:14">
      <c r="A41" s="17">
        <v>44985</v>
      </c>
      <c r="B41" s="16" t="s">
        <v>76</v>
      </c>
      <c r="C41" s="16">
        <v>31</v>
      </c>
      <c r="D41" s="16" t="s">
        <v>42</v>
      </c>
      <c r="E41" s="16">
        <v>0</v>
      </c>
      <c r="F41" s="16">
        <v>0</v>
      </c>
      <c r="G41" s="16">
        <v>0</v>
      </c>
      <c r="H41" s="16">
        <f>Tabla21[[#This Row],[P1 + P4]]*VLOOKUP(MONTH(Tabla21[[#This Row],[Fecha final]]),Tabla20[#All],2,FALSE)</f>
        <v>0</v>
      </c>
      <c r="I41" s="16">
        <f>Tabla21[[#This Row],[P2 + P5]]*VLOOKUP(MONTH(Tabla21[[#This Row],[Fecha final]]),Tabla20[#All],3,FALSE)</f>
        <v>0</v>
      </c>
      <c r="J41" s="16">
        <f>(Tabla21[[#This Row],[P3 + P6]])*VLOOKUP(MONTH(Tabla21[[#This Row],[Fecha final]]),Tabla20[#All],4,FALSE)</f>
        <v>0</v>
      </c>
      <c r="K41" s="16">
        <f>Tabla21[[#This Row],[P1 + P4]]*VLOOKUP(MONTH(Tabla21[[#This Row],[Fecha final]]),Tabla20[#All],5,FALSE)</f>
        <v>0</v>
      </c>
      <c r="L41" s="16">
        <f>Tabla21[[#This Row],[P2 + P5]]*VLOOKUP(MONTH(Tabla21[[#This Row],[Fecha final]]),Tabla20[#All],6,FALSE)</f>
        <v>0</v>
      </c>
      <c r="M41" s="16">
        <f>Tabla21[[#This Row],[P3 + P6]]*VLOOKUP(MONTH(Tabla21[[#This Row],[Fecha final]]),Tabla20[#All],7,FALSE)</f>
        <v>0</v>
      </c>
      <c r="N41" s="16">
        <f>YEAR(Tabla21[[#This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75</v>
      </c>
      <c r="B47" s="16" t="s">
        <v>76</v>
      </c>
      <c r="C47" s="16">
        <v>31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74</v>
      </c>
      <c r="B48" s="16" t="s">
        <v>75</v>
      </c>
      <c r="C48" s="16">
        <v>28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73</v>
      </c>
      <c r="B49" s="16" t="s">
        <v>74</v>
      </c>
      <c r="C49" s="16">
        <v>31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72</v>
      </c>
      <c r="B50" s="16" t="s">
        <v>73</v>
      </c>
      <c r="C50" s="16">
        <v>31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71</v>
      </c>
      <c r="B51" s="16" t="s">
        <v>72</v>
      </c>
      <c r="C51" s="16">
        <v>30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70</v>
      </c>
      <c r="B52" s="16" t="s">
        <v>71</v>
      </c>
      <c r="C52" s="16">
        <v>31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69</v>
      </c>
      <c r="B53" s="16" t="s">
        <v>70</v>
      </c>
      <c r="C53" s="16">
        <v>30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68</v>
      </c>
      <c r="B54" s="16" t="s">
        <v>69</v>
      </c>
      <c r="C54" s="16">
        <v>31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67</v>
      </c>
      <c r="B55" s="16" t="s">
        <v>68</v>
      </c>
      <c r="C55" s="16">
        <v>31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66</v>
      </c>
      <c r="B56" s="16" t="s">
        <v>67</v>
      </c>
      <c r="C56" s="16">
        <v>30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65</v>
      </c>
      <c r="B57" s="16" t="s">
        <v>66</v>
      </c>
      <c r="C57" s="16">
        <v>31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63</v>
      </c>
      <c r="B58" s="16" t="s">
        <v>65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62</v>
      </c>
      <c r="B59" s="16" t="s">
        <v>63</v>
      </c>
      <c r="C59" s="16">
        <v>31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61</v>
      </c>
      <c r="B60" s="16" t="s">
        <v>62</v>
      </c>
      <c r="C60" s="16">
        <v>28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60</v>
      </c>
      <c r="B61" s="16" t="s">
        <v>61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59</v>
      </c>
      <c r="B62" s="16" t="s">
        <v>60</v>
      </c>
      <c r="C62" s="16">
        <v>29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58</v>
      </c>
      <c r="B63" s="16" t="s">
        <v>59</v>
      </c>
      <c r="C63" s="16">
        <v>2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57</v>
      </c>
      <c r="B64" s="16" t="s">
        <v>58</v>
      </c>
      <c r="C64" s="16">
        <v>30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55</v>
      </c>
      <c r="B65" s="16" t="s">
        <v>57</v>
      </c>
      <c r="C65" s="16">
        <v>31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54</v>
      </c>
      <c r="B66" s="16" t="s">
        <v>55</v>
      </c>
      <c r="C66" s="16">
        <v>30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53</v>
      </c>
      <c r="B67" s="16" t="s">
        <v>54</v>
      </c>
      <c r="C67" s="16">
        <v>31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52</v>
      </c>
      <c r="B68" s="16" t="s">
        <v>53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51</v>
      </c>
      <c r="B69" s="16" t="s">
        <v>52</v>
      </c>
      <c r="C69" s="16">
        <v>30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50</v>
      </c>
      <c r="B70" s="16" t="s">
        <v>51</v>
      </c>
      <c r="C70" s="16">
        <v>31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136</v>
      </c>
      <c r="B71" s="16" t="s">
        <v>50</v>
      </c>
      <c r="C71" s="16">
        <v>25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47</v>
      </c>
      <c r="B72" s="16" t="s">
        <v>136</v>
      </c>
      <c r="C72" s="16">
        <v>36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46</v>
      </c>
      <c r="B73" s="16" t="s">
        <v>47</v>
      </c>
      <c r="C73" s="16">
        <v>28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45</v>
      </c>
      <c r="B74" s="16" t="s">
        <v>46</v>
      </c>
      <c r="C74" s="16">
        <v>31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284</v>
      </c>
      <c r="B75" s="16" t="s">
        <v>45</v>
      </c>
      <c r="C75" s="16">
        <v>28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129</v>
      </c>
      <c r="B76" s="16" t="s">
        <v>284</v>
      </c>
      <c r="C76" s="16">
        <v>38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130</v>
      </c>
      <c r="B77" s="16" t="s">
        <v>129</v>
      </c>
      <c r="C77" s="16">
        <v>32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131</v>
      </c>
      <c r="B78" s="16" t="s">
        <v>130</v>
      </c>
      <c r="C78" s="16">
        <v>31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132</v>
      </c>
      <c r="B79" s="16" t="s">
        <v>131</v>
      </c>
      <c r="C79" s="16">
        <v>33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285</v>
      </c>
      <c r="B80" s="16" t="s">
        <v>132</v>
      </c>
      <c r="C80" s="16">
        <v>29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286</v>
      </c>
      <c r="B81" s="16" t="s">
        <v>285</v>
      </c>
      <c r="C81" s="16">
        <v>28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31</v>
      </c>
      <c r="C87" s="16">
        <v>31</v>
      </c>
      <c r="D87" s="16">
        <v>31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75</v>
      </c>
      <c r="B89" s="16" t="s">
        <v>76</v>
      </c>
      <c r="C89" s="16">
        <v>31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74</v>
      </c>
      <c r="B90" s="16" t="s">
        <v>75</v>
      </c>
      <c r="C90" s="16">
        <v>28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73</v>
      </c>
      <c r="B91" s="16" t="s">
        <v>74</v>
      </c>
      <c r="C91" s="16">
        <v>31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72</v>
      </c>
      <c r="B92" s="16" t="s">
        <v>73</v>
      </c>
      <c r="C92" s="16">
        <v>31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71</v>
      </c>
      <c r="B93" s="16" t="s">
        <v>72</v>
      </c>
      <c r="C93" s="16">
        <v>30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70</v>
      </c>
      <c r="B94" s="16" t="s">
        <v>71</v>
      </c>
      <c r="C94" s="16">
        <v>31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69</v>
      </c>
      <c r="B95" s="16" t="s">
        <v>70</v>
      </c>
      <c r="C95" s="16">
        <v>30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68</v>
      </c>
      <c r="B96" s="16" t="s">
        <v>69</v>
      </c>
      <c r="C96" s="16">
        <v>31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67</v>
      </c>
      <c r="B97" s="16" t="s">
        <v>68</v>
      </c>
      <c r="C97" s="16">
        <v>31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66</v>
      </c>
      <c r="B98" s="16" t="s">
        <v>67</v>
      </c>
      <c r="C98" s="16">
        <v>30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65</v>
      </c>
      <c r="B99" s="16" t="s">
        <v>66</v>
      </c>
      <c r="C99" s="16">
        <v>31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63</v>
      </c>
      <c r="B100" s="16" t="s">
        <v>65</v>
      </c>
      <c r="C100" s="16">
        <v>30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62</v>
      </c>
      <c r="B101" s="16" t="s">
        <v>63</v>
      </c>
      <c r="C101" s="16">
        <v>31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61</v>
      </c>
      <c r="B102" s="16" t="s">
        <v>62</v>
      </c>
      <c r="C102" s="16">
        <v>28</v>
      </c>
      <c r="D102" s="16" t="s">
        <v>42</v>
      </c>
      <c r="E102" s="16">
        <v>0</v>
      </c>
      <c r="F102" s="16">
        <v>0</v>
      </c>
      <c r="G102" s="16">
        <v>0</v>
      </c>
    </row>
    <row r="103" spans="1:7">
      <c r="A103" s="16" t="s">
        <v>60</v>
      </c>
      <c r="B103" s="16" t="s">
        <v>61</v>
      </c>
      <c r="C103" s="16">
        <v>31</v>
      </c>
      <c r="D103" s="16" t="s">
        <v>42</v>
      </c>
      <c r="E103" s="16">
        <v>0</v>
      </c>
      <c r="F103" s="16">
        <v>0</v>
      </c>
      <c r="G103" s="16">
        <v>0</v>
      </c>
    </row>
    <row r="104" spans="1:7">
      <c r="A104" s="16" t="s">
        <v>59</v>
      </c>
      <c r="B104" s="16" t="s">
        <v>60</v>
      </c>
      <c r="C104" s="16">
        <v>29</v>
      </c>
      <c r="D104" s="16" t="s">
        <v>42</v>
      </c>
      <c r="E104" s="16">
        <v>0</v>
      </c>
      <c r="F104" s="16">
        <v>0</v>
      </c>
      <c r="G104" s="16">
        <v>0</v>
      </c>
    </row>
    <row r="105" spans="1:7">
      <c r="A105" s="16" t="s">
        <v>58</v>
      </c>
      <c r="B105" s="16" t="s">
        <v>59</v>
      </c>
      <c r="C105" s="16">
        <v>2</v>
      </c>
      <c r="D105" s="16" t="s">
        <v>42</v>
      </c>
      <c r="E105" s="16">
        <v>0</v>
      </c>
      <c r="F105" s="16">
        <v>0</v>
      </c>
      <c r="G105" s="16">
        <v>0</v>
      </c>
    </row>
    <row r="106" spans="1:7">
      <c r="A106" s="16" t="s">
        <v>57</v>
      </c>
      <c r="B106" s="16" t="s">
        <v>58</v>
      </c>
      <c r="C106" s="16">
        <v>30</v>
      </c>
      <c r="D106" s="16" t="s">
        <v>42</v>
      </c>
      <c r="E106" s="16">
        <v>0</v>
      </c>
      <c r="F106" s="16">
        <v>0</v>
      </c>
      <c r="G106" s="16">
        <v>0</v>
      </c>
    </row>
    <row r="107" spans="1:7">
      <c r="A107" s="16" t="s">
        <v>55</v>
      </c>
      <c r="B107" s="16" t="s">
        <v>57</v>
      </c>
      <c r="C107" s="16">
        <v>31</v>
      </c>
      <c r="D107" s="16" t="s">
        <v>42</v>
      </c>
      <c r="E107" s="16">
        <v>0</v>
      </c>
      <c r="F107" s="16">
        <v>0</v>
      </c>
      <c r="G107" s="16">
        <v>0</v>
      </c>
    </row>
    <row r="108" spans="1:7">
      <c r="A108" s="16" t="s">
        <v>54</v>
      </c>
      <c r="B108" s="16" t="s">
        <v>55</v>
      </c>
      <c r="C108" s="16">
        <v>30</v>
      </c>
      <c r="D108" s="16" t="s">
        <v>42</v>
      </c>
      <c r="E108" s="16">
        <v>0</v>
      </c>
      <c r="F108" s="16">
        <v>0</v>
      </c>
      <c r="G108" s="16">
        <v>0</v>
      </c>
    </row>
    <row r="109" spans="1:7">
      <c r="A109" s="16" t="s">
        <v>53</v>
      </c>
      <c r="B109" s="16" t="s">
        <v>54</v>
      </c>
      <c r="C109" s="16">
        <v>31</v>
      </c>
      <c r="D109" s="16" t="s">
        <v>42</v>
      </c>
      <c r="E109" s="16">
        <v>0</v>
      </c>
      <c r="F109" s="16">
        <v>0</v>
      </c>
      <c r="G109" s="16">
        <v>0</v>
      </c>
    </row>
    <row r="110" spans="1:7">
      <c r="A110" s="16" t="s">
        <v>52</v>
      </c>
      <c r="B110" s="16" t="s">
        <v>53</v>
      </c>
      <c r="C110" s="16">
        <v>31</v>
      </c>
      <c r="D110" s="16" t="s">
        <v>42</v>
      </c>
      <c r="E110" s="16">
        <v>0</v>
      </c>
      <c r="F110" s="16">
        <v>0</v>
      </c>
      <c r="G110" s="16">
        <v>0</v>
      </c>
    </row>
    <row r="111" spans="1:7">
      <c r="A111" s="16" t="s">
        <v>51</v>
      </c>
      <c r="B111" s="16" t="s">
        <v>52</v>
      </c>
      <c r="C111" s="16">
        <v>30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50</v>
      </c>
      <c r="B112" s="16" t="s">
        <v>51</v>
      </c>
      <c r="C112" s="16">
        <v>31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136</v>
      </c>
      <c r="B113" s="16" t="s">
        <v>50</v>
      </c>
      <c r="C113" s="16">
        <v>25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47</v>
      </c>
      <c r="B114" s="16" t="s">
        <v>136</v>
      </c>
      <c r="C114" s="16">
        <v>36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46</v>
      </c>
      <c r="B115" s="16" t="s">
        <v>47</v>
      </c>
      <c r="C115" s="16">
        <v>28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45</v>
      </c>
      <c r="B116" s="16" t="s">
        <v>46</v>
      </c>
      <c r="C116" s="16">
        <v>31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284</v>
      </c>
      <c r="B117" s="16" t="s">
        <v>45</v>
      </c>
      <c r="C117" s="16">
        <v>28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129</v>
      </c>
      <c r="B118" s="16" t="s">
        <v>284</v>
      </c>
      <c r="C118" s="16">
        <v>38</v>
      </c>
      <c r="D118" s="16" t="s">
        <v>42</v>
      </c>
      <c r="E118" s="16">
        <v>26</v>
      </c>
      <c r="F118" s="16">
        <v>26</v>
      </c>
      <c r="G118" s="16">
        <v>26</v>
      </c>
    </row>
    <row r="119" spans="1:7">
      <c r="A119" s="16" t="s">
        <v>130</v>
      </c>
      <c r="B119" s="16" t="s">
        <v>129</v>
      </c>
      <c r="C119" s="16">
        <v>32</v>
      </c>
      <c r="D119" s="16" t="s">
        <v>42</v>
      </c>
      <c r="E119" s="16">
        <v>26</v>
      </c>
      <c r="F119" s="16">
        <v>26</v>
      </c>
      <c r="G119" s="16">
        <v>26</v>
      </c>
    </row>
    <row r="120" spans="1:7">
      <c r="A120" s="16" t="s">
        <v>131</v>
      </c>
      <c r="B120" s="16" t="s">
        <v>130</v>
      </c>
      <c r="C120" s="16">
        <v>31</v>
      </c>
      <c r="D120" s="16" t="s">
        <v>42</v>
      </c>
      <c r="E120" s="16">
        <v>26</v>
      </c>
      <c r="F120" s="16">
        <v>26</v>
      </c>
      <c r="G120" s="16">
        <v>26</v>
      </c>
    </row>
    <row r="121" spans="1:7">
      <c r="A121" s="16" t="s">
        <v>132</v>
      </c>
      <c r="B121" s="16" t="s">
        <v>131</v>
      </c>
      <c r="C121" s="16">
        <v>33</v>
      </c>
      <c r="D121" s="16" t="s">
        <v>42</v>
      </c>
      <c r="E121" s="16">
        <v>26</v>
      </c>
      <c r="F121" s="16">
        <v>26</v>
      </c>
      <c r="G121" s="16">
        <v>26</v>
      </c>
    </row>
    <row r="122" spans="1:7">
      <c r="A122" s="16" t="s">
        <v>285</v>
      </c>
      <c r="B122" s="16" t="s">
        <v>132</v>
      </c>
      <c r="C122" s="16">
        <v>29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286</v>
      </c>
      <c r="B123" s="16" t="s">
        <v>285</v>
      </c>
      <c r="C123" s="16">
        <v>28</v>
      </c>
      <c r="D123" s="16" t="s">
        <v>42</v>
      </c>
      <c r="E123" s="16">
        <v>26</v>
      </c>
      <c r="F123" s="16">
        <v>26</v>
      </c>
      <c r="G123" s="16">
        <v>26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C727-344D-45F3-8576-1B56992257EC}">
  <dimension ref="A1:N123"/>
  <sheetViews>
    <sheetView workbookViewId="0">
      <selection activeCell="E24" sqref="E24:G37"/>
    </sheetView>
  </sheetViews>
  <sheetFormatPr baseColWidth="10" defaultColWidth="8.6640625" defaultRowHeight="14.4"/>
  <cols>
    <col min="1" max="1" width="13" style="16" customWidth="1"/>
    <col min="2" max="2" width="11.6640625" style="16" customWidth="1"/>
    <col min="3" max="4" width="8.6640625" style="16"/>
    <col min="5" max="7" width="9" style="16" customWidth="1"/>
    <col min="8" max="16384" width="8.6640625" style="16"/>
  </cols>
  <sheetData>
    <row r="1" spans="1:14">
      <c r="A1" s="16" t="s">
        <v>30</v>
      </c>
    </row>
    <row r="3" spans="1:14">
      <c r="A3" s="16" t="s">
        <v>287</v>
      </c>
      <c r="B3" s="16" t="s">
        <v>32</v>
      </c>
      <c r="C3" s="16" t="s">
        <v>33</v>
      </c>
      <c r="D3" s="16" t="s">
        <v>34</v>
      </c>
    </row>
    <row r="4" spans="1:14">
      <c r="A4" s="16" t="s">
        <v>35</v>
      </c>
      <c r="B4" s="16">
        <v>53</v>
      </c>
      <c r="C4" s="16">
        <v>54</v>
      </c>
      <c r="D4" s="16">
        <v>125</v>
      </c>
    </row>
    <row r="5" spans="1:14">
      <c r="A5" s="16" t="s">
        <v>36</v>
      </c>
      <c r="B5" s="16">
        <v>23</v>
      </c>
      <c r="C5" s="16">
        <v>23</v>
      </c>
      <c r="D5" s="16">
        <v>53</v>
      </c>
    </row>
    <row r="6" spans="1:14">
      <c r="A6" s="16" t="s">
        <v>37</v>
      </c>
      <c r="B6" s="16" t="s">
        <v>38</v>
      </c>
      <c r="C6" s="16" t="s">
        <v>39</v>
      </c>
      <c r="D6" s="16" t="s">
        <v>40</v>
      </c>
      <c r="E6" s="16" t="s">
        <v>32</v>
      </c>
      <c r="F6" s="16" t="s">
        <v>33</v>
      </c>
      <c r="G6" s="16" t="s">
        <v>34</v>
      </c>
      <c r="H6" s="16" t="s">
        <v>81</v>
      </c>
      <c r="I6" s="16" t="s">
        <v>82</v>
      </c>
      <c r="J6" s="16" t="s">
        <v>83</v>
      </c>
      <c r="K6" s="16" t="s">
        <v>271</v>
      </c>
      <c r="L6" s="16" t="s">
        <v>272</v>
      </c>
      <c r="M6" s="16" t="s">
        <v>273</v>
      </c>
      <c r="N6" s="16" t="s">
        <v>274</v>
      </c>
    </row>
    <row r="7" spans="1:14" hidden="1">
      <c r="A7" s="17">
        <v>44012</v>
      </c>
      <c r="B7" s="16" t="s">
        <v>41</v>
      </c>
      <c r="C7" s="16">
        <v>92</v>
      </c>
      <c r="D7" s="16" t="s">
        <v>42</v>
      </c>
      <c r="E7" s="16">
        <v>2086</v>
      </c>
      <c r="F7" s="16">
        <v>0</v>
      </c>
      <c r="G7" s="16">
        <v>0</v>
      </c>
      <c r="H7" s="16">
        <f>SUM(Tabla22[[#This Row],[P1 + P4]:[P2 + P5]])</f>
        <v>2086</v>
      </c>
      <c r="I7" s="16">
        <f>Tabla22[[#This Row],[P3 + P6]]</f>
        <v>0</v>
      </c>
      <c r="N7" s="16">
        <f>YEAR(Tabla22[[#This Row],[Fecha final]])</f>
        <v>2020</v>
      </c>
    </row>
    <row r="8" spans="1:14" hidden="1">
      <c r="A8" s="17">
        <v>44104</v>
      </c>
      <c r="B8" s="16" t="s">
        <v>307</v>
      </c>
      <c r="C8" s="16">
        <v>1</v>
      </c>
      <c r="D8" s="16" t="s">
        <v>42</v>
      </c>
      <c r="E8" s="16">
        <v>3</v>
      </c>
      <c r="F8" s="16">
        <v>0</v>
      </c>
      <c r="G8" s="16">
        <v>0</v>
      </c>
      <c r="H8" s="16">
        <f>SUM(Tabla22[[#This Row],[P1 + P4]:[P2 + P5]])</f>
        <v>3</v>
      </c>
      <c r="I8" s="16">
        <f>Tabla22[[#This Row],[P3 + P6]]</f>
        <v>0</v>
      </c>
      <c r="N8" s="16">
        <f>YEAR(Tabla22[[#This Row],[Fecha final]])</f>
        <v>2020</v>
      </c>
    </row>
    <row r="9" spans="1:14" hidden="1">
      <c r="A9" s="17">
        <v>44105</v>
      </c>
      <c r="B9" s="16" t="s">
        <v>128</v>
      </c>
      <c r="C9" s="16">
        <v>54</v>
      </c>
      <c r="D9" s="16" t="s">
        <v>42</v>
      </c>
      <c r="E9" s="16">
        <v>584</v>
      </c>
      <c r="F9" s="16">
        <v>0</v>
      </c>
      <c r="G9" s="16">
        <v>0</v>
      </c>
      <c r="H9" s="16">
        <f>SUM(Tabla22[[#This Row],[P1 + P4]:[P2 + P5]])</f>
        <v>584</v>
      </c>
      <c r="I9" s="16">
        <f>Tabla22[[#This Row],[P3 + P6]]</f>
        <v>0</v>
      </c>
      <c r="N9" s="16">
        <f>YEAR(Tabla22[[#This Row],[Fecha final]])</f>
        <v>2020</v>
      </c>
    </row>
    <row r="10" spans="1:14" hidden="1">
      <c r="A10" s="17">
        <v>44159</v>
      </c>
      <c r="B10" s="16" t="s">
        <v>306</v>
      </c>
      <c r="C10" s="16">
        <v>45</v>
      </c>
      <c r="D10" s="16" t="s">
        <v>42</v>
      </c>
      <c r="E10" s="16">
        <v>990</v>
      </c>
      <c r="F10" s="16">
        <v>0</v>
      </c>
      <c r="G10" s="16">
        <v>0</v>
      </c>
      <c r="H10" s="16">
        <f>SUM(Tabla22[[#This Row],[P1 + P4]:[P2 + P5]])</f>
        <v>990</v>
      </c>
      <c r="I10" s="16">
        <f>Tabla22[[#This Row],[P3 + P6]]</f>
        <v>0</v>
      </c>
      <c r="N10" s="16">
        <f>YEAR(Tabla22[[#This Row],[Fecha final]])</f>
        <v>2021</v>
      </c>
    </row>
    <row r="11" spans="1:14" hidden="1">
      <c r="A11" s="17">
        <v>44204</v>
      </c>
      <c r="B11" s="16" t="s">
        <v>46</v>
      </c>
      <c r="C11" s="16">
        <v>23</v>
      </c>
      <c r="D11" s="16" t="s">
        <v>42</v>
      </c>
      <c r="E11" s="16">
        <v>507</v>
      </c>
      <c r="F11" s="16">
        <v>0</v>
      </c>
      <c r="G11" s="16">
        <v>0</v>
      </c>
      <c r="H11" s="16">
        <f>SUM(Tabla22[[#This Row],[P1 + P4]:[P2 + P5]])</f>
        <v>507</v>
      </c>
      <c r="I11" s="16">
        <f>Tabla22[[#This Row],[P3 + P6]]</f>
        <v>0</v>
      </c>
      <c r="N11" s="16">
        <f>YEAR(Tabla22[[#This Row],[Fecha final]])</f>
        <v>2021</v>
      </c>
    </row>
    <row r="12" spans="1:14" hidden="1">
      <c r="A12" s="17">
        <v>44227</v>
      </c>
      <c r="B12" s="16" t="s">
        <v>305</v>
      </c>
      <c r="C12" s="16">
        <v>29</v>
      </c>
      <c r="D12" s="16" t="s">
        <v>42</v>
      </c>
      <c r="E12" s="16">
        <v>429</v>
      </c>
      <c r="F12" s="16">
        <v>0</v>
      </c>
      <c r="G12" s="16">
        <v>0</v>
      </c>
      <c r="H12" s="16">
        <f>SUM(Tabla22[[#This Row],[P1 + P4]:[P2 + P5]])</f>
        <v>429</v>
      </c>
      <c r="I12" s="16">
        <f>Tabla22[[#This Row],[P3 + P6]]</f>
        <v>0</v>
      </c>
      <c r="N12" s="16">
        <f>YEAR(Tabla22[[#This Row],[Fecha final]])</f>
        <v>2021</v>
      </c>
    </row>
    <row r="13" spans="1:14" hidden="1">
      <c r="A13" s="17">
        <v>44256</v>
      </c>
      <c r="B13" s="16" t="s">
        <v>304</v>
      </c>
      <c r="C13" s="16">
        <v>11</v>
      </c>
      <c r="D13" s="16" t="s">
        <v>42</v>
      </c>
      <c r="E13" s="16">
        <v>8</v>
      </c>
      <c r="F13" s="16">
        <v>0</v>
      </c>
      <c r="G13" s="16">
        <v>0</v>
      </c>
      <c r="H13" s="16">
        <f>SUM(Tabla22[[#This Row],[P1 + P4]:[P2 + P5]])</f>
        <v>8</v>
      </c>
      <c r="I13" s="16">
        <f>Tabla22[[#This Row],[P3 + P6]]</f>
        <v>0</v>
      </c>
      <c r="N13" s="16">
        <f>YEAR(Tabla22[[#This Row],[Fecha final]])</f>
        <v>2021</v>
      </c>
    </row>
    <row r="14" spans="1:14" hidden="1">
      <c r="A14" s="17">
        <v>44267</v>
      </c>
      <c r="B14" s="16" t="s">
        <v>303</v>
      </c>
      <c r="C14" s="16">
        <v>23</v>
      </c>
      <c r="D14" s="16" t="s">
        <v>42</v>
      </c>
      <c r="E14" s="16">
        <v>14</v>
      </c>
      <c r="F14" s="16">
        <v>0</v>
      </c>
      <c r="G14" s="16">
        <v>0</v>
      </c>
      <c r="H14" s="16">
        <f>SUM(Tabla22[[#This Row],[P1 + P4]:[P2 + P5]])</f>
        <v>14</v>
      </c>
      <c r="I14" s="16">
        <f>Tabla22[[#This Row],[P3 + P6]]</f>
        <v>0</v>
      </c>
      <c r="N14" s="16">
        <f>YEAR(Tabla22[[#This Row],[Fecha final]])</f>
        <v>2021</v>
      </c>
    </row>
    <row r="15" spans="1:14" hidden="1">
      <c r="A15" s="17">
        <v>44290</v>
      </c>
      <c r="B15" s="16" t="s">
        <v>302</v>
      </c>
      <c r="C15" s="16">
        <v>28</v>
      </c>
      <c r="D15" s="16" t="s">
        <v>42</v>
      </c>
      <c r="E15" s="16">
        <v>18</v>
      </c>
      <c r="F15" s="16">
        <v>0</v>
      </c>
      <c r="G15" s="16">
        <v>0</v>
      </c>
      <c r="H15" s="16">
        <f>SUM(Tabla22[[#This Row],[P1 + P4]:[P2 + P5]])</f>
        <v>18</v>
      </c>
      <c r="I15" s="16">
        <f>Tabla22[[#This Row],[P3 + P6]]</f>
        <v>0</v>
      </c>
      <c r="N15" s="16">
        <f>YEAR(Tabla22[[#This Row],[Fecha final]])</f>
        <v>2021</v>
      </c>
    </row>
    <row r="16" spans="1:14" hidden="1">
      <c r="A16" s="17">
        <v>44318</v>
      </c>
      <c r="B16" s="16" t="s">
        <v>51</v>
      </c>
      <c r="C16" s="16">
        <v>29</v>
      </c>
      <c r="D16" s="16" t="s">
        <v>42</v>
      </c>
      <c r="E16" s="16">
        <v>18</v>
      </c>
      <c r="F16" s="16">
        <v>0</v>
      </c>
      <c r="G16" s="16">
        <v>0</v>
      </c>
      <c r="H16" s="16">
        <f>SUM(Tabla22[[#This Row],[P1 + P4]:[P2 + P5]])</f>
        <v>18</v>
      </c>
      <c r="I16" s="16">
        <f>Tabla22[[#This Row],[P3 + P6]]</f>
        <v>0</v>
      </c>
      <c r="N16" s="16">
        <f>YEAR(Tabla22[[#This Row],[Fecha final]])</f>
        <v>2021</v>
      </c>
    </row>
    <row r="17" spans="1:14" hidden="1">
      <c r="A17" s="17">
        <v>44347</v>
      </c>
      <c r="B17" s="16" t="s">
        <v>301</v>
      </c>
      <c r="C17" s="16">
        <v>27</v>
      </c>
      <c r="D17" s="16" t="s">
        <v>42</v>
      </c>
      <c r="E17" s="16">
        <v>4</v>
      </c>
      <c r="F17" s="16">
        <v>4</v>
      </c>
      <c r="G17" s="16">
        <v>9</v>
      </c>
      <c r="H17" s="16">
        <f>SUM(Tabla22[[#This Row],[P1 + P4]:[P2 + P5]])</f>
        <v>8</v>
      </c>
      <c r="I17" s="16">
        <f>Tabla22[[#This Row],[P3 + P6]]</f>
        <v>9</v>
      </c>
      <c r="N17" s="16">
        <f>YEAR(Tabla22[[#This Row],[Fecha final]])</f>
        <v>2021</v>
      </c>
    </row>
    <row r="18" spans="1:14" hidden="1">
      <c r="A18" s="17">
        <v>44374</v>
      </c>
      <c r="B18" s="16" t="s">
        <v>300</v>
      </c>
      <c r="C18" s="16">
        <v>35</v>
      </c>
      <c r="D18" s="16" t="s">
        <v>42</v>
      </c>
      <c r="E18" s="16">
        <v>5</v>
      </c>
      <c r="F18" s="16">
        <v>5</v>
      </c>
      <c r="G18" s="16">
        <v>12</v>
      </c>
      <c r="H18" s="16">
        <f>SUM(Tabla22[[#This Row],[P1 + P4]:[P2 + P5]])</f>
        <v>10</v>
      </c>
      <c r="I18" s="16">
        <f>Tabla22[[#This Row],[P3 + P6]]</f>
        <v>12</v>
      </c>
      <c r="N18" s="16">
        <f>YEAR(Tabla22[[#This Row],[Fecha final]])</f>
        <v>2021</v>
      </c>
    </row>
    <row r="19" spans="1:14" hidden="1">
      <c r="A19" s="17">
        <v>44409</v>
      </c>
      <c r="B19" s="16" t="s">
        <v>299</v>
      </c>
      <c r="C19" s="16">
        <v>29</v>
      </c>
      <c r="D19" s="16" t="s">
        <v>42</v>
      </c>
      <c r="E19" s="16">
        <v>4</v>
      </c>
      <c r="F19" s="16">
        <v>4</v>
      </c>
      <c r="G19" s="16">
        <v>9</v>
      </c>
      <c r="H19" s="16">
        <f>SUM(Tabla22[[#This Row],[P1 + P4]:[P2 + P5]])</f>
        <v>8</v>
      </c>
      <c r="I19" s="16">
        <f>Tabla22[[#This Row],[P3 + P6]]</f>
        <v>9</v>
      </c>
      <c r="N19" s="16">
        <f>YEAR(Tabla22[[#This Row],[Fecha final]])</f>
        <v>2021</v>
      </c>
    </row>
    <row r="20" spans="1:14" hidden="1">
      <c r="A20" s="17">
        <v>44438</v>
      </c>
      <c r="B20" s="16" t="s">
        <v>55</v>
      </c>
      <c r="C20" s="16">
        <v>31</v>
      </c>
      <c r="D20" s="16" t="s">
        <v>42</v>
      </c>
      <c r="E20" s="16">
        <v>5</v>
      </c>
      <c r="F20" s="16">
        <v>5</v>
      </c>
      <c r="G20" s="16">
        <v>10</v>
      </c>
      <c r="H20" s="16">
        <f>SUM(Tabla22[[#This Row],[P1 + P4]:[P2 + P5]])</f>
        <v>10</v>
      </c>
      <c r="I20" s="16">
        <f>Tabla22[[#This Row],[P3 + P6]]</f>
        <v>10</v>
      </c>
      <c r="N20" s="16">
        <f>YEAR(Tabla22[[#This Row],[Fecha final]])</f>
        <v>2021</v>
      </c>
    </row>
    <row r="21" spans="1:14" hidden="1">
      <c r="A21" s="17">
        <v>44469</v>
      </c>
      <c r="B21" s="16" t="s">
        <v>298</v>
      </c>
      <c r="C21" s="16">
        <v>32</v>
      </c>
      <c r="D21" s="16" t="s">
        <v>42</v>
      </c>
      <c r="E21" s="16">
        <v>4</v>
      </c>
      <c r="F21" s="16">
        <v>5</v>
      </c>
      <c r="G21" s="16">
        <v>12</v>
      </c>
      <c r="H21" s="16">
        <f>SUM(Tabla22[[#This Row],[P1 + P4]:[P2 + P5]])</f>
        <v>9</v>
      </c>
      <c r="I21" s="16">
        <f>Tabla22[[#This Row],[P3 + P6]]</f>
        <v>12</v>
      </c>
      <c r="N21" s="16">
        <f>YEAR(Tabla22[[#This Row],[Fecha final]])</f>
        <v>2021</v>
      </c>
    </row>
    <row r="22" spans="1:14" hidden="1">
      <c r="A22" s="17">
        <v>44501</v>
      </c>
      <c r="B22" s="16" t="s">
        <v>58</v>
      </c>
      <c r="C22" s="16">
        <v>29</v>
      </c>
      <c r="D22" s="16" t="s">
        <v>42</v>
      </c>
      <c r="E22" s="16">
        <v>5</v>
      </c>
      <c r="F22" s="16">
        <v>4</v>
      </c>
      <c r="G22" s="16">
        <v>10</v>
      </c>
      <c r="H22" s="16">
        <f>SUM(Tabla22[[#This Row],[P1 + P4]:[P2 + P5]])</f>
        <v>9</v>
      </c>
      <c r="I22" s="16">
        <f>Tabla22[[#This Row],[P3 + P6]]</f>
        <v>10</v>
      </c>
      <c r="N22" s="16">
        <f>YEAR(Tabla22[[#This Row],[Fecha final]])</f>
        <v>2021</v>
      </c>
    </row>
    <row r="23" spans="1:14" hidden="1">
      <c r="A23" s="17">
        <v>44530</v>
      </c>
      <c r="B23" s="16" t="s">
        <v>297</v>
      </c>
      <c r="C23" s="16">
        <v>18</v>
      </c>
      <c r="D23" s="16" t="s">
        <v>42</v>
      </c>
      <c r="E23" s="16">
        <v>2</v>
      </c>
      <c r="F23" s="16">
        <v>3</v>
      </c>
      <c r="G23" s="16">
        <v>7</v>
      </c>
      <c r="H23" s="16">
        <f>SUM(Tabla22[[#This Row],[P1 + P4]:[P2 + P5]])</f>
        <v>5</v>
      </c>
      <c r="I23" s="16">
        <f>Tabla22[[#This Row],[P3 + P6]]</f>
        <v>7</v>
      </c>
      <c r="N23" s="16">
        <f>YEAR(Tabla22[[#This Row],[Fecha final]])</f>
        <v>2021</v>
      </c>
    </row>
    <row r="24" spans="1:14">
      <c r="A24" s="17">
        <v>44548</v>
      </c>
      <c r="B24" s="16" t="s">
        <v>114</v>
      </c>
      <c r="C24" s="16">
        <v>15</v>
      </c>
      <c r="D24" s="16" t="s">
        <v>42</v>
      </c>
      <c r="E24" s="16">
        <v>2</v>
      </c>
      <c r="F24" s="16">
        <v>2</v>
      </c>
      <c r="G24" s="16">
        <v>5</v>
      </c>
      <c r="H24" s="16">
        <f>SUM(Tabla22[[#This Row],[P1 + P4]:[P2 + P5]])</f>
        <v>4</v>
      </c>
      <c r="I24" s="16">
        <f>Tabla22[[#This Row],[P3 + P6]]</f>
        <v>5</v>
      </c>
      <c r="N24" s="16">
        <f>YEAR(Tabla22[[#This Row],[Fecha final]])</f>
        <v>2022</v>
      </c>
    </row>
    <row r="25" spans="1:14">
      <c r="A25" s="17">
        <v>44563</v>
      </c>
      <c r="B25" s="16" t="s">
        <v>61</v>
      </c>
      <c r="C25" s="16">
        <v>29</v>
      </c>
      <c r="D25" s="16" t="s">
        <v>42</v>
      </c>
      <c r="E25" s="16">
        <v>6</v>
      </c>
      <c r="F25" s="16">
        <v>5</v>
      </c>
      <c r="G25" s="16">
        <v>14</v>
      </c>
      <c r="H25" s="16">
        <f>SUM(Tabla22[[#This Row],[P1 + P4]:[P2 + P5]])</f>
        <v>11</v>
      </c>
      <c r="I25" s="16">
        <f>Tabla22[[#This Row],[P3 + P6]]</f>
        <v>14</v>
      </c>
      <c r="N25" s="16">
        <f>YEAR(Tabla22[[#This Row],[Fecha final]])</f>
        <v>2022</v>
      </c>
    </row>
    <row r="26" spans="1:14">
      <c r="A26" s="17">
        <v>44592</v>
      </c>
      <c r="B26" s="16" t="s">
        <v>62</v>
      </c>
      <c r="C26" s="16">
        <v>28</v>
      </c>
      <c r="D26" s="16" t="s">
        <v>42</v>
      </c>
      <c r="E26" s="16">
        <v>5</v>
      </c>
      <c r="F26" s="16">
        <v>5</v>
      </c>
      <c r="G26" s="16">
        <v>10</v>
      </c>
      <c r="H26" s="16">
        <f>SUM(Tabla22[[#This Row],[P1 + P4]:[P2 + P5]])</f>
        <v>10</v>
      </c>
      <c r="I26" s="16">
        <f>Tabla22[[#This Row],[P3 + P6]]</f>
        <v>10</v>
      </c>
      <c r="N26" s="16">
        <f>YEAR(Tabla22[[#This Row],[Fecha final]])</f>
        <v>2022</v>
      </c>
    </row>
    <row r="27" spans="1:14">
      <c r="A27" s="17">
        <v>44620</v>
      </c>
      <c r="B27" s="16" t="s">
        <v>63</v>
      </c>
      <c r="C27" s="16">
        <v>31</v>
      </c>
      <c r="D27" s="16" t="s">
        <v>42</v>
      </c>
      <c r="E27" s="16">
        <v>5</v>
      </c>
      <c r="F27" s="16">
        <v>5</v>
      </c>
      <c r="G27" s="16">
        <v>10</v>
      </c>
      <c r="H27" s="16">
        <f>SUM(Tabla22[[#This Row],[P1 + P4]:[P2 + P5]])</f>
        <v>10</v>
      </c>
      <c r="I27" s="16">
        <f>Tabla22[[#This Row],[P3 + P6]]</f>
        <v>10</v>
      </c>
      <c r="N27" s="16">
        <f>YEAR(Tabla22[[#This Row],[Fecha final]])</f>
        <v>2022</v>
      </c>
    </row>
    <row r="28" spans="1:14">
      <c r="A28" s="17">
        <v>44651</v>
      </c>
      <c r="B28" s="16" t="s">
        <v>296</v>
      </c>
      <c r="C28" s="16">
        <v>31</v>
      </c>
      <c r="D28" s="16" t="s">
        <v>42</v>
      </c>
      <c r="E28" s="16">
        <v>4</v>
      </c>
      <c r="F28" s="16">
        <v>4</v>
      </c>
      <c r="G28" s="16">
        <v>10</v>
      </c>
      <c r="H28" s="16">
        <f>SUM(Tabla22[[#This Row],[P1 + P4]:[P2 + P5]])</f>
        <v>8</v>
      </c>
      <c r="I28" s="16">
        <f>Tabla22[[#This Row],[P3 + P6]]</f>
        <v>10</v>
      </c>
      <c r="N28" s="16">
        <f>YEAR(Tabla22[[#This Row],[Fecha final]])</f>
        <v>2022</v>
      </c>
    </row>
    <row r="29" spans="1:14">
      <c r="A29" s="17">
        <v>44682</v>
      </c>
      <c r="B29" s="16" t="s">
        <v>66</v>
      </c>
      <c r="C29" s="16">
        <v>30</v>
      </c>
      <c r="D29" s="16" t="s">
        <v>42</v>
      </c>
      <c r="E29" s="16">
        <v>5</v>
      </c>
      <c r="F29" s="16">
        <v>5</v>
      </c>
      <c r="G29" s="16">
        <v>10</v>
      </c>
      <c r="H29" s="16">
        <f>SUM(Tabla22[[#This Row],[P1 + P4]:[P2 + P5]])</f>
        <v>10</v>
      </c>
      <c r="I29" s="16">
        <f>Tabla22[[#This Row],[P3 + P6]]</f>
        <v>10</v>
      </c>
      <c r="N29" s="16">
        <f>YEAR(Tabla22[[#This Row],[Fecha final]])</f>
        <v>2022</v>
      </c>
    </row>
    <row r="30" spans="1:14">
      <c r="A30" s="17">
        <v>44712</v>
      </c>
      <c r="B30" s="16" t="s">
        <v>67</v>
      </c>
      <c r="C30" s="16">
        <v>30</v>
      </c>
      <c r="D30" s="16" t="s">
        <v>42</v>
      </c>
      <c r="E30" s="16">
        <v>5</v>
      </c>
      <c r="F30" s="16">
        <v>5</v>
      </c>
      <c r="G30" s="16">
        <v>10</v>
      </c>
      <c r="H30" s="16">
        <f>SUM(Tabla22[[#This Row],[P1 + P4]:[P2 + P5]])</f>
        <v>10</v>
      </c>
      <c r="I30" s="16">
        <f>Tabla22[[#This Row],[P3 + P6]]</f>
        <v>10</v>
      </c>
      <c r="N30" s="16">
        <f>YEAR(Tabla22[[#This Row],[Fecha final]])</f>
        <v>2022</v>
      </c>
    </row>
    <row r="31" spans="1:14">
      <c r="A31" s="17">
        <v>44742</v>
      </c>
      <c r="B31" s="16" t="s">
        <v>295</v>
      </c>
      <c r="C31" s="16">
        <v>29</v>
      </c>
      <c r="D31" s="16" t="s">
        <v>42</v>
      </c>
      <c r="E31" s="16">
        <v>4</v>
      </c>
      <c r="F31" s="16">
        <v>4</v>
      </c>
      <c r="G31" s="16">
        <v>10</v>
      </c>
      <c r="H31" s="16">
        <f>SUM(Tabla22[[#This Row],[P1 + P4]:[P2 + P5]])</f>
        <v>8</v>
      </c>
      <c r="I31" s="16">
        <f>Tabla22[[#This Row],[P3 + P6]]</f>
        <v>10</v>
      </c>
      <c r="N31" s="16">
        <f>YEAR(Tabla22[[#This Row],[Fecha final]])</f>
        <v>2022</v>
      </c>
    </row>
    <row r="32" spans="1:14">
      <c r="A32" s="17">
        <v>44771</v>
      </c>
      <c r="B32" s="16" t="s">
        <v>294</v>
      </c>
      <c r="C32" s="16">
        <v>38</v>
      </c>
      <c r="D32" s="16" t="s">
        <v>42</v>
      </c>
      <c r="E32" s="16">
        <v>5</v>
      </c>
      <c r="F32" s="16">
        <v>5</v>
      </c>
      <c r="G32" s="16">
        <v>13</v>
      </c>
      <c r="H32" s="16">
        <f>SUM(Tabla22[[#This Row],[P1 + P4]:[P2 + P5]])</f>
        <v>10</v>
      </c>
      <c r="I32" s="16">
        <f>Tabla22[[#This Row],[P3 + P6]]</f>
        <v>13</v>
      </c>
      <c r="N32" s="16">
        <f>YEAR(Tabla22[[#This Row],[Fecha final]])</f>
        <v>2022</v>
      </c>
    </row>
    <row r="33" spans="1:14">
      <c r="A33" s="17">
        <v>44809</v>
      </c>
      <c r="B33" s="16" t="s">
        <v>293</v>
      </c>
      <c r="C33" s="16">
        <v>27</v>
      </c>
      <c r="D33" s="16" t="s">
        <v>42</v>
      </c>
      <c r="E33" s="16">
        <v>4</v>
      </c>
      <c r="F33" s="16">
        <v>4</v>
      </c>
      <c r="G33" s="16">
        <v>9</v>
      </c>
      <c r="H33" s="16">
        <f>SUM(Tabla22[[#This Row],[P1 + P4]:[P2 + P5]])</f>
        <v>8</v>
      </c>
      <c r="I33" s="16">
        <f>Tabla22[[#This Row],[P3 + P6]]</f>
        <v>9</v>
      </c>
      <c r="N33" s="16">
        <f>YEAR(Tabla22[[#This Row],[Fecha final]])</f>
        <v>2022</v>
      </c>
    </row>
    <row r="34" spans="1:14">
      <c r="A34" s="17">
        <v>44836</v>
      </c>
      <c r="B34" s="16" t="s">
        <v>292</v>
      </c>
      <c r="C34" s="16">
        <v>11</v>
      </c>
      <c r="D34" s="16" t="s">
        <v>42</v>
      </c>
      <c r="E34" s="16">
        <v>2</v>
      </c>
      <c r="F34" s="16">
        <v>2</v>
      </c>
      <c r="G34" s="16">
        <v>4</v>
      </c>
      <c r="H34" s="16">
        <f>SUM(Tabla22[[#This Row],[P1 + P4]:[P2 + P5]])</f>
        <v>4</v>
      </c>
      <c r="I34" s="16">
        <f>Tabla22[[#This Row],[P3 + P6]]</f>
        <v>4</v>
      </c>
      <c r="N34" s="16">
        <f>YEAR(Tabla22[[#This Row],[Fecha final]])</f>
        <v>2022</v>
      </c>
    </row>
    <row r="35" spans="1:14">
      <c r="A35" s="17">
        <v>44847</v>
      </c>
      <c r="B35" s="16" t="s">
        <v>291</v>
      </c>
      <c r="C35" s="16">
        <v>19</v>
      </c>
      <c r="D35" s="16" t="s">
        <v>42</v>
      </c>
      <c r="E35" s="16">
        <v>3</v>
      </c>
      <c r="F35" s="16">
        <v>3</v>
      </c>
      <c r="G35" s="16">
        <v>7</v>
      </c>
      <c r="H35" s="16">
        <f>SUM(Tabla22[[#This Row],[P1 + P4]:[P2 + P5]])</f>
        <v>6</v>
      </c>
      <c r="I35" s="16">
        <f>Tabla22[[#This Row],[P3 + P6]]</f>
        <v>7</v>
      </c>
      <c r="N35" s="16">
        <f>YEAR(Tabla22[[#This Row],[Fecha final]])</f>
        <v>2022</v>
      </c>
    </row>
    <row r="36" spans="1:14">
      <c r="A36" s="17">
        <v>44866</v>
      </c>
      <c r="B36" s="16" t="s">
        <v>72</v>
      </c>
      <c r="C36" s="16">
        <v>29</v>
      </c>
      <c r="D36" s="16" t="s">
        <v>42</v>
      </c>
      <c r="E36" s="16">
        <v>4</v>
      </c>
      <c r="F36" s="16">
        <v>4</v>
      </c>
      <c r="G36" s="16">
        <v>10</v>
      </c>
      <c r="H36" s="16">
        <f>SUM(Tabla22[[#This Row],[P1 + P4]:[P2 + P5]])</f>
        <v>8</v>
      </c>
      <c r="I36" s="16">
        <f>Tabla22[[#This Row],[P3 + P6]]</f>
        <v>10</v>
      </c>
      <c r="N36" s="16">
        <f>YEAR(Tabla22[[#This Row],[Fecha final]])</f>
        <v>2022</v>
      </c>
    </row>
    <row r="37" spans="1:14">
      <c r="A37" s="17">
        <v>44895</v>
      </c>
      <c r="B37" s="16" t="s">
        <v>290</v>
      </c>
      <c r="C37" s="16">
        <v>32</v>
      </c>
      <c r="D37" s="16" t="s">
        <v>42</v>
      </c>
      <c r="E37" s="16">
        <v>4</v>
      </c>
      <c r="F37" s="16">
        <v>4</v>
      </c>
      <c r="G37" s="16">
        <v>12</v>
      </c>
      <c r="H37" s="16">
        <f>SUM(Tabla22[[#This Row],[P1 + P4]:[P2 + P5]])</f>
        <v>8</v>
      </c>
      <c r="I37" s="16">
        <f>Tabla22[[#This Row],[P3 + P6]]</f>
        <v>12</v>
      </c>
      <c r="N37" s="16">
        <f>YEAR(Tabla22[[#This Row],[Fecha final]])</f>
        <v>2023</v>
      </c>
    </row>
    <row r="38" spans="1:14">
      <c r="A38" s="17">
        <v>44927</v>
      </c>
      <c r="B38" s="16" t="s">
        <v>74</v>
      </c>
      <c r="C38" s="16">
        <v>30</v>
      </c>
      <c r="D38" s="16" t="s">
        <v>42</v>
      </c>
      <c r="E38" s="16">
        <v>5</v>
      </c>
      <c r="F38" s="16">
        <v>5</v>
      </c>
      <c r="G38" s="16">
        <v>10</v>
      </c>
      <c r="H38" s="16">
        <f>SUM(Tabla22[[#This Row],[P1 + P4]:[P2 + P5]])</f>
        <v>10</v>
      </c>
      <c r="I38" s="16">
        <f>Tabla22[[#This Row],[P3 + P6]]</f>
        <v>10</v>
      </c>
      <c r="N38" s="16">
        <f>YEAR(Tabla22[[#This Row],[Fecha final]])</f>
        <v>2023</v>
      </c>
    </row>
    <row r="39" spans="1:14">
      <c r="A39" s="17">
        <v>44957</v>
      </c>
      <c r="B39" s="16" t="s">
        <v>75</v>
      </c>
      <c r="C39" s="16">
        <v>28</v>
      </c>
      <c r="D39" s="16" t="s">
        <v>42</v>
      </c>
      <c r="E39" s="16">
        <v>4</v>
      </c>
      <c r="F39" s="16">
        <v>4</v>
      </c>
      <c r="G39" s="16">
        <v>9</v>
      </c>
      <c r="H39" s="16">
        <f>SUM(Tabla22[[#This Row],[P1 + P4]:[P2 + P5]])</f>
        <v>8</v>
      </c>
      <c r="I39" s="16">
        <f>Tabla22[[#This Row],[P3 + P6]]</f>
        <v>9</v>
      </c>
      <c r="N39" s="16">
        <f>YEAR(Tabla22[[#This Row],[Fecha final]])</f>
        <v>2023</v>
      </c>
    </row>
    <row r="40" spans="1:14">
      <c r="A40" s="17">
        <v>44985</v>
      </c>
      <c r="B40" s="16" t="s">
        <v>288</v>
      </c>
      <c r="C40" s="16">
        <v>34</v>
      </c>
      <c r="D40" s="16" t="s">
        <v>42</v>
      </c>
      <c r="E40" s="16">
        <v>5</v>
      </c>
      <c r="F40" s="16">
        <v>5</v>
      </c>
      <c r="G40" s="16">
        <v>12</v>
      </c>
      <c r="H40" s="16">
        <f>SUM(Tabla22[[#This Row],[P1 + P4]:[P2 + P5]])</f>
        <v>10</v>
      </c>
      <c r="I40" s="16">
        <f>Tabla22[[#This Row],[P3 + P6]]</f>
        <v>12</v>
      </c>
      <c r="N40" s="16">
        <f>YEAR(Tabla22[[#This Row],[Fecha final]])</f>
        <v>2023</v>
      </c>
    </row>
    <row r="41" spans="1:14">
      <c r="A41" s="17">
        <v>45019</v>
      </c>
      <c r="B41" s="16" t="s">
        <v>289</v>
      </c>
      <c r="C41" s="16">
        <v>29</v>
      </c>
      <c r="D41" s="16" t="s">
        <v>42</v>
      </c>
      <c r="E41" s="16">
        <v>4</v>
      </c>
      <c r="F41" s="16">
        <v>5</v>
      </c>
      <c r="G41" s="16">
        <v>10</v>
      </c>
      <c r="H41" s="16">
        <f>SUM(Tabla22[[#This Row],[P1 + P4]:[P2 + P5]])</f>
        <v>9</v>
      </c>
      <c r="I41" s="16">
        <f>Tabla22[[#This Row],[P3 + P6]]</f>
        <v>10</v>
      </c>
      <c r="N41" s="16">
        <f>YEAR(Tabla22[[#This Row],[Fecha final]])</f>
        <v>2023</v>
      </c>
    </row>
    <row r="44" spans="1:14">
      <c r="A44" s="16" t="s">
        <v>77</v>
      </c>
    </row>
    <row r="46" spans="1:14">
      <c r="A46" s="16" t="s">
        <v>37</v>
      </c>
      <c r="B46" s="16" t="s">
        <v>38</v>
      </c>
      <c r="C46" s="16" t="s">
        <v>39</v>
      </c>
      <c r="D46" s="16" t="s">
        <v>40</v>
      </c>
      <c r="E46" s="16" t="s">
        <v>32</v>
      </c>
      <c r="F46" s="16" t="s">
        <v>33</v>
      </c>
      <c r="G46" s="16" t="s">
        <v>34</v>
      </c>
    </row>
    <row r="47" spans="1:14">
      <c r="A47" s="16" t="s">
        <v>288</v>
      </c>
      <c r="B47" s="16" t="s">
        <v>289</v>
      </c>
      <c r="C47" s="16">
        <v>29</v>
      </c>
      <c r="D47" s="16" t="s">
        <v>42</v>
      </c>
      <c r="E47" s="16">
        <v>0</v>
      </c>
      <c r="F47" s="16">
        <v>0</v>
      </c>
      <c r="G47" s="16">
        <v>0</v>
      </c>
    </row>
    <row r="48" spans="1:14">
      <c r="A48" s="16" t="s">
        <v>75</v>
      </c>
      <c r="B48" s="16" t="s">
        <v>288</v>
      </c>
      <c r="C48" s="16">
        <v>34</v>
      </c>
      <c r="D48" s="16" t="s">
        <v>42</v>
      </c>
      <c r="E48" s="16">
        <v>0</v>
      </c>
      <c r="F48" s="16">
        <v>0</v>
      </c>
      <c r="G48" s="16">
        <v>0</v>
      </c>
    </row>
    <row r="49" spans="1:7">
      <c r="A49" s="16" t="s">
        <v>74</v>
      </c>
      <c r="B49" s="16" t="s">
        <v>75</v>
      </c>
      <c r="C49" s="16">
        <v>28</v>
      </c>
      <c r="D49" s="16" t="s">
        <v>42</v>
      </c>
      <c r="E49" s="16">
        <v>0</v>
      </c>
      <c r="F49" s="16">
        <v>0</v>
      </c>
      <c r="G49" s="16">
        <v>0</v>
      </c>
    </row>
    <row r="50" spans="1:7">
      <c r="A50" s="16" t="s">
        <v>290</v>
      </c>
      <c r="B50" s="16" t="s">
        <v>74</v>
      </c>
      <c r="C50" s="16">
        <v>30</v>
      </c>
      <c r="D50" s="16" t="s">
        <v>42</v>
      </c>
      <c r="E50" s="16">
        <v>0</v>
      </c>
      <c r="F50" s="16">
        <v>0</v>
      </c>
      <c r="G50" s="16">
        <v>0</v>
      </c>
    </row>
    <row r="51" spans="1:7">
      <c r="A51" s="16" t="s">
        <v>72</v>
      </c>
      <c r="B51" s="16" t="s">
        <v>290</v>
      </c>
      <c r="C51" s="16">
        <v>32</v>
      </c>
      <c r="D51" s="16" t="s">
        <v>42</v>
      </c>
      <c r="E51" s="16">
        <v>0</v>
      </c>
      <c r="F51" s="16">
        <v>0</v>
      </c>
      <c r="G51" s="16">
        <v>0</v>
      </c>
    </row>
    <row r="52" spans="1:7">
      <c r="A52" s="16" t="s">
        <v>291</v>
      </c>
      <c r="B52" s="16" t="s">
        <v>72</v>
      </c>
      <c r="C52" s="16">
        <v>29</v>
      </c>
      <c r="D52" s="16" t="s">
        <v>42</v>
      </c>
      <c r="E52" s="16">
        <v>0</v>
      </c>
      <c r="F52" s="16">
        <v>0</v>
      </c>
      <c r="G52" s="16">
        <v>0</v>
      </c>
    </row>
    <row r="53" spans="1:7">
      <c r="A53" s="16" t="s">
        <v>292</v>
      </c>
      <c r="B53" s="16" t="s">
        <v>291</v>
      </c>
      <c r="C53" s="16">
        <v>19</v>
      </c>
      <c r="D53" s="16" t="s">
        <v>42</v>
      </c>
      <c r="E53" s="16">
        <v>0</v>
      </c>
      <c r="F53" s="16">
        <v>0</v>
      </c>
      <c r="G53" s="16">
        <v>0</v>
      </c>
    </row>
    <row r="54" spans="1:7">
      <c r="A54" s="16" t="s">
        <v>293</v>
      </c>
      <c r="B54" s="16" t="s">
        <v>292</v>
      </c>
      <c r="C54" s="16">
        <v>11</v>
      </c>
      <c r="D54" s="16" t="s">
        <v>42</v>
      </c>
      <c r="E54" s="16">
        <v>0</v>
      </c>
      <c r="F54" s="16">
        <v>0</v>
      </c>
      <c r="G54" s="16">
        <v>0</v>
      </c>
    </row>
    <row r="55" spans="1:7">
      <c r="A55" s="16" t="s">
        <v>294</v>
      </c>
      <c r="B55" s="16" t="s">
        <v>293</v>
      </c>
      <c r="C55" s="16">
        <v>27</v>
      </c>
      <c r="D55" s="16" t="s">
        <v>42</v>
      </c>
      <c r="E55" s="16">
        <v>0</v>
      </c>
      <c r="F55" s="16">
        <v>0</v>
      </c>
      <c r="G55" s="16">
        <v>0</v>
      </c>
    </row>
    <row r="56" spans="1:7">
      <c r="A56" s="16" t="s">
        <v>295</v>
      </c>
      <c r="B56" s="16" t="s">
        <v>294</v>
      </c>
      <c r="C56" s="16">
        <v>38</v>
      </c>
      <c r="D56" s="16" t="s">
        <v>42</v>
      </c>
      <c r="E56" s="16">
        <v>0</v>
      </c>
      <c r="F56" s="16">
        <v>0</v>
      </c>
      <c r="G56" s="16">
        <v>0</v>
      </c>
    </row>
    <row r="57" spans="1:7">
      <c r="A57" s="16" t="s">
        <v>67</v>
      </c>
      <c r="B57" s="16" t="s">
        <v>295</v>
      </c>
      <c r="C57" s="16">
        <v>29</v>
      </c>
      <c r="D57" s="16" t="s">
        <v>42</v>
      </c>
      <c r="E57" s="16">
        <v>0</v>
      </c>
      <c r="F57" s="16">
        <v>0</v>
      </c>
      <c r="G57" s="16">
        <v>0</v>
      </c>
    </row>
    <row r="58" spans="1:7">
      <c r="A58" s="16" t="s">
        <v>66</v>
      </c>
      <c r="B58" s="16" t="s">
        <v>67</v>
      </c>
      <c r="C58" s="16">
        <v>30</v>
      </c>
      <c r="D58" s="16" t="s">
        <v>42</v>
      </c>
      <c r="E58" s="16">
        <v>0</v>
      </c>
      <c r="F58" s="16">
        <v>0</v>
      </c>
      <c r="G58" s="16">
        <v>0</v>
      </c>
    </row>
    <row r="59" spans="1:7">
      <c r="A59" s="16" t="s">
        <v>296</v>
      </c>
      <c r="B59" s="16" t="s">
        <v>66</v>
      </c>
      <c r="C59" s="16">
        <v>30</v>
      </c>
      <c r="D59" s="16" t="s">
        <v>42</v>
      </c>
      <c r="E59" s="16">
        <v>0</v>
      </c>
      <c r="F59" s="16">
        <v>0</v>
      </c>
      <c r="G59" s="16">
        <v>0</v>
      </c>
    </row>
    <row r="60" spans="1:7">
      <c r="A60" s="16" t="s">
        <v>63</v>
      </c>
      <c r="B60" s="16" t="s">
        <v>296</v>
      </c>
      <c r="C60" s="16">
        <v>31</v>
      </c>
      <c r="D60" s="16" t="s">
        <v>42</v>
      </c>
      <c r="E60" s="16">
        <v>0</v>
      </c>
      <c r="F60" s="16">
        <v>0</v>
      </c>
      <c r="G60" s="16">
        <v>0</v>
      </c>
    </row>
    <row r="61" spans="1:7">
      <c r="A61" s="16" t="s">
        <v>62</v>
      </c>
      <c r="B61" s="16" t="s">
        <v>63</v>
      </c>
      <c r="C61" s="16">
        <v>31</v>
      </c>
      <c r="D61" s="16" t="s">
        <v>42</v>
      </c>
      <c r="E61" s="16">
        <v>0</v>
      </c>
      <c r="F61" s="16">
        <v>0</v>
      </c>
      <c r="G61" s="16">
        <v>0</v>
      </c>
    </row>
    <row r="62" spans="1:7">
      <c r="A62" s="16" t="s">
        <v>61</v>
      </c>
      <c r="B62" s="16" t="s">
        <v>62</v>
      </c>
      <c r="C62" s="16">
        <v>28</v>
      </c>
      <c r="D62" s="16" t="s">
        <v>42</v>
      </c>
      <c r="E62" s="16">
        <v>0</v>
      </c>
      <c r="F62" s="16">
        <v>0</v>
      </c>
      <c r="G62" s="16">
        <v>0</v>
      </c>
    </row>
    <row r="63" spans="1:7">
      <c r="A63" s="16" t="s">
        <v>114</v>
      </c>
      <c r="B63" s="16" t="s">
        <v>61</v>
      </c>
      <c r="C63" s="16">
        <v>29</v>
      </c>
      <c r="D63" s="16" t="s">
        <v>42</v>
      </c>
      <c r="E63" s="16">
        <v>0</v>
      </c>
      <c r="F63" s="16">
        <v>0</v>
      </c>
      <c r="G63" s="16">
        <v>0</v>
      </c>
    </row>
    <row r="64" spans="1:7">
      <c r="A64" s="16" t="s">
        <v>297</v>
      </c>
      <c r="B64" s="16" t="s">
        <v>114</v>
      </c>
      <c r="C64" s="16">
        <v>15</v>
      </c>
      <c r="D64" s="16" t="s">
        <v>42</v>
      </c>
      <c r="E64" s="16">
        <v>0</v>
      </c>
      <c r="F64" s="16">
        <v>0</v>
      </c>
      <c r="G64" s="16">
        <v>0</v>
      </c>
    </row>
    <row r="65" spans="1:7">
      <c r="A65" s="16" t="s">
        <v>58</v>
      </c>
      <c r="B65" s="16" t="s">
        <v>297</v>
      </c>
      <c r="C65" s="16">
        <v>18</v>
      </c>
      <c r="D65" s="16" t="s">
        <v>42</v>
      </c>
      <c r="E65" s="16">
        <v>0</v>
      </c>
      <c r="F65" s="16">
        <v>0</v>
      </c>
      <c r="G65" s="16">
        <v>0</v>
      </c>
    </row>
    <row r="66" spans="1:7">
      <c r="A66" s="16" t="s">
        <v>298</v>
      </c>
      <c r="B66" s="16" t="s">
        <v>58</v>
      </c>
      <c r="C66" s="16">
        <v>29</v>
      </c>
      <c r="D66" s="16" t="s">
        <v>42</v>
      </c>
      <c r="E66" s="16">
        <v>0</v>
      </c>
      <c r="F66" s="16">
        <v>0</v>
      </c>
      <c r="G66" s="16">
        <v>0</v>
      </c>
    </row>
    <row r="67" spans="1:7">
      <c r="A67" s="16" t="s">
        <v>55</v>
      </c>
      <c r="B67" s="16" t="s">
        <v>298</v>
      </c>
      <c r="C67" s="16">
        <v>32</v>
      </c>
      <c r="D67" s="16" t="s">
        <v>42</v>
      </c>
      <c r="E67" s="16">
        <v>0</v>
      </c>
      <c r="F67" s="16">
        <v>0</v>
      </c>
      <c r="G67" s="16">
        <v>0</v>
      </c>
    </row>
    <row r="68" spans="1:7">
      <c r="A68" s="16" t="s">
        <v>299</v>
      </c>
      <c r="B68" s="16" t="s">
        <v>55</v>
      </c>
      <c r="C68" s="16">
        <v>31</v>
      </c>
      <c r="D68" s="16" t="s">
        <v>42</v>
      </c>
      <c r="E68" s="16">
        <v>0</v>
      </c>
      <c r="F68" s="16">
        <v>0</v>
      </c>
      <c r="G68" s="16">
        <v>0</v>
      </c>
    </row>
    <row r="69" spans="1:7">
      <c r="A69" s="16" t="s">
        <v>300</v>
      </c>
      <c r="B69" s="16" t="s">
        <v>299</v>
      </c>
      <c r="C69" s="16">
        <v>29</v>
      </c>
      <c r="D69" s="16" t="s">
        <v>42</v>
      </c>
      <c r="E69" s="16">
        <v>0</v>
      </c>
      <c r="F69" s="16">
        <v>0</v>
      </c>
      <c r="G69" s="16">
        <v>0</v>
      </c>
    </row>
    <row r="70" spans="1:7">
      <c r="A70" s="16" t="s">
        <v>301</v>
      </c>
      <c r="B70" s="16" t="s">
        <v>300</v>
      </c>
      <c r="C70" s="16">
        <v>35</v>
      </c>
      <c r="D70" s="16" t="s">
        <v>42</v>
      </c>
      <c r="E70" s="16">
        <v>0</v>
      </c>
      <c r="F70" s="16">
        <v>0</v>
      </c>
      <c r="G70" s="16">
        <v>0</v>
      </c>
    </row>
    <row r="71" spans="1:7">
      <c r="A71" s="16" t="s">
        <v>51</v>
      </c>
      <c r="B71" s="16" t="s">
        <v>301</v>
      </c>
      <c r="C71" s="16">
        <v>27</v>
      </c>
      <c r="D71" s="16" t="s">
        <v>42</v>
      </c>
      <c r="E71" s="16">
        <v>0</v>
      </c>
      <c r="F71" s="16">
        <v>0</v>
      </c>
      <c r="G71" s="16">
        <v>0</v>
      </c>
    </row>
    <row r="72" spans="1:7">
      <c r="A72" s="16" t="s">
        <v>302</v>
      </c>
      <c r="B72" s="16" t="s">
        <v>51</v>
      </c>
      <c r="C72" s="16">
        <v>29</v>
      </c>
      <c r="D72" s="16" t="s">
        <v>42</v>
      </c>
      <c r="E72" s="16">
        <v>0</v>
      </c>
      <c r="F72" s="16">
        <v>0</v>
      </c>
      <c r="G72" s="16">
        <v>0</v>
      </c>
    </row>
    <row r="73" spans="1:7">
      <c r="A73" s="16" t="s">
        <v>303</v>
      </c>
      <c r="B73" s="16" t="s">
        <v>302</v>
      </c>
      <c r="C73" s="16">
        <v>28</v>
      </c>
      <c r="D73" s="16" t="s">
        <v>42</v>
      </c>
      <c r="E73" s="16">
        <v>0</v>
      </c>
      <c r="F73" s="16">
        <v>0</v>
      </c>
      <c r="G73" s="16">
        <v>0</v>
      </c>
    </row>
    <row r="74" spans="1:7">
      <c r="A74" s="16" t="s">
        <v>304</v>
      </c>
      <c r="B74" s="16" t="s">
        <v>303</v>
      </c>
      <c r="C74" s="16">
        <v>23</v>
      </c>
      <c r="D74" s="16" t="s">
        <v>42</v>
      </c>
      <c r="E74" s="16">
        <v>0</v>
      </c>
      <c r="F74" s="16">
        <v>0</v>
      </c>
      <c r="G74" s="16">
        <v>0</v>
      </c>
    </row>
    <row r="75" spans="1:7">
      <c r="A75" s="16" t="s">
        <v>305</v>
      </c>
      <c r="B75" s="16" t="s">
        <v>304</v>
      </c>
      <c r="C75" s="16">
        <v>11</v>
      </c>
      <c r="D75" s="16" t="s">
        <v>42</v>
      </c>
      <c r="E75" s="16">
        <v>0</v>
      </c>
      <c r="F75" s="16">
        <v>0</v>
      </c>
      <c r="G75" s="16">
        <v>0</v>
      </c>
    </row>
    <row r="76" spans="1:7">
      <c r="A76" s="16" t="s">
        <v>46</v>
      </c>
      <c r="B76" s="16" t="s">
        <v>305</v>
      </c>
      <c r="C76" s="16">
        <v>29</v>
      </c>
      <c r="D76" s="16" t="s">
        <v>42</v>
      </c>
      <c r="E76" s="16">
        <v>0</v>
      </c>
      <c r="F76" s="16">
        <v>0</v>
      </c>
      <c r="G76" s="16">
        <v>0</v>
      </c>
    </row>
    <row r="77" spans="1:7">
      <c r="A77" s="16" t="s">
        <v>306</v>
      </c>
      <c r="B77" s="16" t="s">
        <v>46</v>
      </c>
      <c r="C77" s="16">
        <v>23</v>
      </c>
      <c r="D77" s="16" t="s">
        <v>42</v>
      </c>
      <c r="E77" s="16">
        <v>0</v>
      </c>
      <c r="F77" s="16">
        <v>0</v>
      </c>
      <c r="G77" s="16">
        <v>0</v>
      </c>
    </row>
    <row r="78" spans="1:7">
      <c r="A78" s="16" t="s">
        <v>128</v>
      </c>
      <c r="B78" s="16" t="s">
        <v>306</v>
      </c>
      <c r="C78" s="16">
        <v>45</v>
      </c>
      <c r="D78" s="16" t="s">
        <v>42</v>
      </c>
      <c r="E78" s="16">
        <v>0</v>
      </c>
      <c r="F78" s="16">
        <v>0</v>
      </c>
      <c r="G78" s="16">
        <v>0</v>
      </c>
    </row>
    <row r="79" spans="1:7">
      <c r="A79" s="16" t="s">
        <v>307</v>
      </c>
      <c r="B79" s="16" t="s">
        <v>128</v>
      </c>
      <c r="C79" s="16">
        <v>54</v>
      </c>
      <c r="D79" s="16" t="s">
        <v>42</v>
      </c>
      <c r="E79" s="16">
        <v>0</v>
      </c>
      <c r="F79" s="16">
        <v>0</v>
      </c>
      <c r="G79" s="16">
        <v>0</v>
      </c>
    </row>
    <row r="80" spans="1:7">
      <c r="A80" s="16" t="s">
        <v>41</v>
      </c>
      <c r="B80" s="16" t="s">
        <v>307</v>
      </c>
      <c r="C80" s="16">
        <v>1</v>
      </c>
      <c r="D80" s="16" t="s">
        <v>42</v>
      </c>
      <c r="E80" s="16">
        <v>0</v>
      </c>
      <c r="F80" s="16">
        <v>0</v>
      </c>
      <c r="G80" s="16">
        <v>0</v>
      </c>
    </row>
    <row r="81" spans="1:7">
      <c r="A81" s="16" t="s">
        <v>89</v>
      </c>
      <c r="B81" s="16" t="s">
        <v>41</v>
      </c>
      <c r="C81" s="16">
        <v>92</v>
      </c>
      <c r="D81" s="16" t="s">
        <v>42</v>
      </c>
      <c r="E81" s="16">
        <v>0</v>
      </c>
      <c r="F81" s="16">
        <v>0</v>
      </c>
      <c r="G81" s="16">
        <v>0</v>
      </c>
    </row>
    <row r="84" spans="1:7">
      <c r="A84" s="16" t="s">
        <v>79</v>
      </c>
    </row>
    <row r="86" spans="1:7">
      <c r="A86" s="16" t="s">
        <v>80</v>
      </c>
      <c r="B86" s="16" t="s">
        <v>81</v>
      </c>
      <c r="C86" s="16" t="s">
        <v>82</v>
      </c>
      <c r="D86" s="16" t="s">
        <v>83</v>
      </c>
    </row>
    <row r="87" spans="1:7">
      <c r="A87" s="16" t="s">
        <v>84</v>
      </c>
      <c r="B87" s="16">
        <v>2.9</v>
      </c>
      <c r="C87" s="16">
        <v>2.9</v>
      </c>
      <c r="D87" s="16">
        <v>0</v>
      </c>
    </row>
    <row r="88" spans="1:7">
      <c r="A88" s="16" t="s">
        <v>37</v>
      </c>
      <c r="B88" s="16" t="s">
        <v>38</v>
      </c>
      <c r="C88" s="16" t="s">
        <v>39</v>
      </c>
      <c r="D88" s="16" t="s">
        <v>40</v>
      </c>
      <c r="E88" s="16" t="s">
        <v>81</v>
      </c>
      <c r="F88" s="16" t="s">
        <v>82</v>
      </c>
      <c r="G88" s="16" t="s">
        <v>83</v>
      </c>
    </row>
    <row r="89" spans="1:7">
      <c r="A89" s="16" t="s">
        <v>288</v>
      </c>
      <c r="B89" s="16" t="s">
        <v>289</v>
      </c>
      <c r="C89" s="16">
        <v>29</v>
      </c>
      <c r="D89" s="16" t="s">
        <v>42</v>
      </c>
      <c r="E89" s="16">
        <v>0</v>
      </c>
      <c r="F89" s="16">
        <v>0</v>
      </c>
      <c r="G89" s="16">
        <v>0</v>
      </c>
    </row>
    <row r="90" spans="1:7">
      <c r="A90" s="16" t="s">
        <v>75</v>
      </c>
      <c r="B90" s="16" t="s">
        <v>288</v>
      </c>
      <c r="C90" s="16">
        <v>34</v>
      </c>
      <c r="D90" s="16" t="s">
        <v>42</v>
      </c>
      <c r="E90" s="16">
        <v>0</v>
      </c>
      <c r="F90" s="16">
        <v>0</v>
      </c>
      <c r="G90" s="16">
        <v>0</v>
      </c>
    </row>
    <row r="91" spans="1:7">
      <c r="A91" s="16" t="s">
        <v>74</v>
      </c>
      <c r="B91" s="16" t="s">
        <v>75</v>
      </c>
      <c r="C91" s="16">
        <v>28</v>
      </c>
      <c r="D91" s="16" t="s">
        <v>42</v>
      </c>
      <c r="E91" s="16">
        <v>0</v>
      </c>
      <c r="F91" s="16">
        <v>0</v>
      </c>
      <c r="G91" s="16">
        <v>0</v>
      </c>
    </row>
    <row r="92" spans="1:7">
      <c r="A92" s="16" t="s">
        <v>290</v>
      </c>
      <c r="B92" s="16" t="s">
        <v>74</v>
      </c>
      <c r="C92" s="16">
        <v>30</v>
      </c>
      <c r="D92" s="16" t="s">
        <v>42</v>
      </c>
      <c r="E92" s="16">
        <v>0</v>
      </c>
      <c r="F92" s="16">
        <v>0</v>
      </c>
      <c r="G92" s="16">
        <v>0</v>
      </c>
    </row>
    <row r="93" spans="1:7">
      <c r="A93" s="16" t="s">
        <v>72</v>
      </c>
      <c r="B93" s="16" t="s">
        <v>290</v>
      </c>
      <c r="C93" s="16">
        <v>32</v>
      </c>
      <c r="D93" s="16" t="s">
        <v>42</v>
      </c>
      <c r="E93" s="16">
        <v>0</v>
      </c>
      <c r="F93" s="16">
        <v>0</v>
      </c>
      <c r="G93" s="16">
        <v>0</v>
      </c>
    </row>
    <row r="94" spans="1:7">
      <c r="A94" s="16" t="s">
        <v>291</v>
      </c>
      <c r="B94" s="16" t="s">
        <v>72</v>
      </c>
      <c r="C94" s="16">
        <v>29</v>
      </c>
      <c r="D94" s="16" t="s">
        <v>42</v>
      </c>
      <c r="E94" s="16">
        <v>0</v>
      </c>
      <c r="F94" s="16">
        <v>0</v>
      </c>
      <c r="G94" s="16">
        <v>0</v>
      </c>
    </row>
    <row r="95" spans="1:7">
      <c r="A95" s="16" t="s">
        <v>292</v>
      </c>
      <c r="B95" s="16" t="s">
        <v>291</v>
      </c>
      <c r="C95" s="16">
        <v>19</v>
      </c>
      <c r="D95" s="16" t="s">
        <v>42</v>
      </c>
      <c r="E95" s="16">
        <v>0</v>
      </c>
      <c r="F95" s="16">
        <v>0</v>
      </c>
      <c r="G95" s="16">
        <v>0</v>
      </c>
    </row>
    <row r="96" spans="1:7">
      <c r="A96" s="16" t="s">
        <v>293</v>
      </c>
      <c r="B96" s="16" t="s">
        <v>292</v>
      </c>
      <c r="C96" s="16">
        <v>11</v>
      </c>
      <c r="D96" s="16" t="s">
        <v>42</v>
      </c>
      <c r="E96" s="16">
        <v>0</v>
      </c>
      <c r="F96" s="16">
        <v>0</v>
      </c>
      <c r="G96" s="16">
        <v>0</v>
      </c>
    </row>
    <row r="97" spans="1:7">
      <c r="A97" s="16" t="s">
        <v>294</v>
      </c>
      <c r="B97" s="16" t="s">
        <v>293</v>
      </c>
      <c r="C97" s="16">
        <v>27</v>
      </c>
      <c r="D97" s="16" t="s">
        <v>42</v>
      </c>
      <c r="E97" s="16">
        <v>0</v>
      </c>
      <c r="F97" s="16">
        <v>0</v>
      </c>
      <c r="G97" s="16">
        <v>0</v>
      </c>
    </row>
    <row r="98" spans="1:7">
      <c r="A98" s="16" t="s">
        <v>295</v>
      </c>
      <c r="B98" s="16" t="s">
        <v>294</v>
      </c>
      <c r="C98" s="16">
        <v>38</v>
      </c>
      <c r="D98" s="16" t="s">
        <v>42</v>
      </c>
      <c r="E98" s="16">
        <v>0</v>
      </c>
      <c r="F98" s="16">
        <v>0</v>
      </c>
      <c r="G98" s="16">
        <v>0</v>
      </c>
    </row>
    <row r="99" spans="1:7">
      <c r="A99" s="16" t="s">
        <v>67</v>
      </c>
      <c r="B99" s="16" t="s">
        <v>295</v>
      </c>
      <c r="C99" s="16">
        <v>29</v>
      </c>
      <c r="D99" s="16" t="s">
        <v>42</v>
      </c>
      <c r="E99" s="16">
        <v>0</v>
      </c>
      <c r="F99" s="16">
        <v>0</v>
      </c>
      <c r="G99" s="16">
        <v>0</v>
      </c>
    </row>
    <row r="100" spans="1:7">
      <c r="A100" s="16" t="s">
        <v>66</v>
      </c>
      <c r="B100" s="16" t="s">
        <v>67</v>
      </c>
      <c r="C100" s="16">
        <v>30</v>
      </c>
      <c r="D100" s="16" t="s">
        <v>42</v>
      </c>
      <c r="E100" s="16">
        <v>0</v>
      </c>
      <c r="F100" s="16">
        <v>0</v>
      </c>
      <c r="G100" s="16">
        <v>0</v>
      </c>
    </row>
    <row r="101" spans="1:7">
      <c r="A101" s="16" t="s">
        <v>296</v>
      </c>
      <c r="B101" s="16" t="s">
        <v>66</v>
      </c>
      <c r="C101" s="16">
        <v>30</v>
      </c>
      <c r="D101" s="16" t="s">
        <v>42</v>
      </c>
      <c r="E101" s="16">
        <v>0</v>
      </c>
      <c r="F101" s="16">
        <v>0</v>
      </c>
      <c r="G101" s="16">
        <v>0</v>
      </c>
    </row>
    <row r="102" spans="1:7">
      <c r="A102" s="16" t="s">
        <v>63</v>
      </c>
      <c r="B102" s="16" t="s">
        <v>296</v>
      </c>
      <c r="C102" s="16">
        <v>31</v>
      </c>
      <c r="D102" s="16" t="s">
        <v>42</v>
      </c>
      <c r="E102" s="16">
        <v>0</v>
      </c>
      <c r="F102" s="16">
        <v>0</v>
      </c>
      <c r="G102" s="16">
        <v>0</v>
      </c>
    </row>
    <row r="103" spans="1:7">
      <c r="A103" s="16" t="s">
        <v>62</v>
      </c>
      <c r="B103" s="16" t="s">
        <v>63</v>
      </c>
      <c r="C103" s="16">
        <v>31</v>
      </c>
      <c r="D103" s="16" t="s">
        <v>42</v>
      </c>
      <c r="E103" s="16">
        <v>0</v>
      </c>
      <c r="F103" s="16">
        <v>0</v>
      </c>
      <c r="G103" s="16">
        <v>0</v>
      </c>
    </row>
    <row r="104" spans="1:7">
      <c r="A104" s="16" t="s">
        <v>61</v>
      </c>
      <c r="B104" s="16" t="s">
        <v>62</v>
      </c>
      <c r="C104" s="16">
        <v>28</v>
      </c>
      <c r="D104" s="16" t="s">
        <v>42</v>
      </c>
      <c r="E104" s="16">
        <v>0</v>
      </c>
      <c r="F104" s="16">
        <v>0</v>
      </c>
      <c r="G104" s="16">
        <v>0</v>
      </c>
    </row>
    <row r="105" spans="1:7">
      <c r="A105" s="16" t="s">
        <v>114</v>
      </c>
      <c r="B105" s="16" t="s">
        <v>61</v>
      </c>
      <c r="C105" s="16">
        <v>29</v>
      </c>
      <c r="D105" s="16" t="s">
        <v>42</v>
      </c>
      <c r="E105" s="16">
        <v>1.0269999999999999</v>
      </c>
      <c r="F105" s="16">
        <v>0</v>
      </c>
      <c r="G105" s="16">
        <v>0</v>
      </c>
    </row>
    <row r="106" spans="1:7">
      <c r="A106" s="16" t="s">
        <v>297</v>
      </c>
      <c r="B106" s="16" t="s">
        <v>114</v>
      </c>
      <c r="C106" s="16">
        <v>15</v>
      </c>
      <c r="D106" s="16" t="s">
        <v>42</v>
      </c>
      <c r="E106" s="16">
        <v>0</v>
      </c>
      <c r="F106" s="16">
        <v>0</v>
      </c>
      <c r="G106" s="16">
        <v>0</v>
      </c>
    </row>
    <row r="107" spans="1:7">
      <c r="A107" s="16" t="s">
        <v>58</v>
      </c>
      <c r="B107" s="16" t="s">
        <v>297</v>
      </c>
      <c r="C107" s="16">
        <v>18</v>
      </c>
      <c r="D107" s="16" t="s">
        <v>42</v>
      </c>
      <c r="E107" s="16">
        <v>0</v>
      </c>
      <c r="F107" s="16">
        <v>0</v>
      </c>
      <c r="G107" s="16">
        <v>0</v>
      </c>
    </row>
    <row r="108" spans="1:7">
      <c r="A108" s="16" t="s">
        <v>298</v>
      </c>
      <c r="B108" s="16" t="s">
        <v>58</v>
      </c>
      <c r="C108" s="16">
        <v>29</v>
      </c>
      <c r="D108" s="16" t="s">
        <v>42</v>
      </c>
      <c r="E108" s="16">
        <v>0</v>
      </c>
      <c r="F108" s="16">
        <v>0</v>
      </c>
      <c r="G108" s="16">
        <v>0</v>
      </c>
    </row>
    <row r="109" spans="1:7">
      <c r="A109" s="16" t="s">
        <v>55</v>
      </c>
      <c r="B109" s="16" t="s">
        <v>298</v>
      </c>
      <c r="C109" s="16">
        <v>32</v>
      </c>
      <c r="D109" s="16" t="s">
        <v>42</v>
      </c>
      <c r="E109" s="16">
        <v>0</v>
      </c>
      <c r="F109" s="16">
        <v>0</v>
      </c>
      <c r="G109" s="16">
        <v>0</v>
      </c>
    </row>
    <row r="110" spans="1:7">
      <c r="A110" s="16" t="s">
        <v>299</v>
      </c>
      <c r="B110" s="16" t="s">
        <v>55</v>
      </c>
      <c r="C110" s="16">
        <v>31</v>
      </c>
      <c r="D110" s="16" t="s">
        <v>42</v>
      </c>
      <c r="E110" s="16">
        <v>0</v>
      </c>
      <c r="F110" s="16">
        <v>0</v>
      </c>
      <c r="G110" s="16">
        <v>0</v>
      </c>
    </row>
    <row r="111" spans="1:7">
      <c r="A111" s="16" t="s">
        <v>300</v>
      </c>
      <c r="B111" s="16" t="s">
        <v>299</v>
      </c>
      <c r="C111" s="16">
        <v>29</v>
      </c>
      <c r="D111" s="16" t="s">
        <v>42</v>
      </c>
      <c r="E111" s="16">
        <v>0</v>
      </c>
      <c r="F111" s="16">
        <v>0</v>
      </c>
      <c r="G111" s="16">
        <v>0</v>
      </c>
    </row>
    <row r="112" spans="1:7">
      <c r="A112" s="16" t="s">
        <v>301</v>
      </c>
      <c r="B112" s="16" t="s">
        <v>300</v>
      </c>
      <c r="C112" s="16">
        <v>35</v>
      </c>
      <c r="D112" s="16" t="s">
        <v>42</v>
      </c>
      <c r="E112" s="16">
        <v>0</v>
      </c>
      <c r="F112" s="16">
        <v>0</v>
      </c>
      <c r="G112" s="16">
        <v>0</v>
      </c>
    </row>
    <row r="113" spans="1:7">
      <c r="A113" s="16" t="s">
        <v>51</v>
      </c>
      <c r="B113" s="16" t="s">
        <v>301</v>
      </c>
      <c r="C113" s="16">
        <v>27</v>
      </c>
      <c r="D113" s="16" t="s">
        <v>42</v>
      </c>
      <c r="E113" s="16">
        <v>0</v>
      </c>
      <c r="F113" s="16">
        <v>0</v>
      </c>
      <c r="G113" s="16">
        <v>0</v>
      </c>
    </row>
    <row r="114" spans="1:7">
      <c r="A114" s="16" t="s">
        <v>302</v>
      </c>
      <c r="B114" s="16" t="s">
        <v>51</v>
      </c>
      <c r="C114" s="16">
        <v>29</v>
      </c>
      <c r="D114" s="16" t="s">
        <v>42</v>
      </c>
      <c r="E114" s="16">
        <v>0</v>
      </c>
      <c r="F114" s="16">
        <v>0</v>
      </c>
      <c r="G114" s="16">
        <v>0</v>
      </c>
    </row>
    <row r="115" spans="1:7">
      <c r="A115" s="16" t="s">
        <v>303</v>
      </c>
      <c r="B115" s="16" t="s">
        <v>302</v>
      </c>
      <c r="C115" s="16">
        <v>28</v>
      </c>
      <c r="D115" s="16" t="s">
        <v>42</v>
      </c>
      <c r="E115" s="16">
        <v>0</v>
      </c>
      <c r="F115" s="16">
        <v>0</v>
      </c>
      <c r="G115" s="16">
        <v>0</v>
      </c>
    </row>
    <row r="116" spans="1:7">
      <c r="A116" s="16" t="s">
        <v>304</v>
      </c>
      <c r="B116" s="16" t="s">
        <v>303</v>
      </c>
      <c r="C116" s="16">
        <v>23</v>
      </c>
      <c r="D116" s="16" t="s">
        <v>42</v>
      </c>
      <c r="E116" s="16">
        <v>0</v>
      </c>
      <c r="F116" s="16">
        <v>0</v>
      </c>
      <c r="G116" s="16">
        <v>0</v>
      </c>
    </row>
    <row r="117" spans="1:7">
      <c r="A117" s="16" t="s">
        <v>305</v>
      </c>
      <c r="B117" s="16" t="s">
        <v>304</v>
      </c>
      <c r="C117" s="16">
        <v>11</v>
      </c>
      <c r="D117" s="16" t="s">
        <v>42</v>
      </c>
      <c r="E117" s="16">
        <v>0</v>
      </c>
      <c r="F117" s="16">
        <v>0</v>
      </c>
      <c r="G117" s="16">
        <v>0</v>
      </c>
    </row>
    <row r="118" spans="1:7">
      <c r="A118" s="16" t="s">
        <v>46</v>
      </c>
      <c r="B118" s="16" t="s">
        <v>305</v>
      </c>
      <c r="C118" s="16">
        <v>29</v>
      </c>
      <c r="D118" s="16" t="s">
        <v>42</v>
      </c>
      <c r="E118" s="16">
        <v>0</v>
      </c>
      <c r="F118" s="16">
        <v>0</v>
      </c>
      <c r="G118" s="16">
        <v>0</v>
      </c>
    </row>
    <row r="119" spans="1:7">
      <c r="A119" s="16" t="s">
        <v>306</v>
      </c>
      <c r="B119" s="16" t="s">
        <v>46</v>
      </c>
      <c r="C119" s="16">
        <v>23</v>
      </c>
      <c r="D119" s="16" t="s">
        <v>42</v>
      </c>
      <c r="E119" s="16">
        <v>0</v>
      </c>
      <c r="F119" s="16">
        <v>0</v>
      </c>
      <c r="G119" s="16">
        <v>0</v>
      </c>
    </row>
    <row r="120" spans="1:7">
      <c r="A120" s="16" t="s">
        <v>128</v>
      </c>
      <c r="B120" s="16" t="s">
        <v>306</v>
      </c>
      <c r="C120" s="16">
        <v>45</v>
      </c>
      <c r="D120" s="16" t="s">
        <v>42</v>
      </c>
      <c r="E120" s="16">
        <v>0</v>
      </c>
      <c r="F120" s="16">
        <v>0</v>
      </c>
      <c r="G120" s="16">
        <v>0</v>
      </c>
    </row>
    <row r="121" spans="1:7">
      <c r="A121" s="16" t="s">
        <v>307</v>
      </c>
      <c r="B121" s="16" t="s">
        <v>128</v>
      </c>
      <c r="C121" s="16">
        <v>54</v>
      </c>
      <c r="D121" s="16" t="s">
        <v>42</v>
      </c>
      <c r="E121" s="16">
        <v>0</v>
      </c>
      <c r="F121" s="16">
        <v>0</v>
      </c>
      <c r="G121" s="16">
        <v>0</v>
      </c>
    </row>
    <row r="122" spans="1:7">
      <c r="A122" s="16" t="s">
        <v>41</v>
      </c>
      <c r="B122" s="16" t="s">
        <v>307</v>
      </c>
      <c r="C122" s="16">
        <v>1</v>
      </c>
      <c r="D122" s="16" t="s">
        <v>42</v>
      </c>
      <c r="E122" s="16">
        <v>0</v>
      </c>
      <c r="F122" s="16">
        <v>0</v>
      </c>
      <c r="G122" s="16">
        <v>0</v>
      </c>
    </row>
    <row r="123" spans="1:7">
      <c r="A123" s="16" t="s">
        <v>89</v>
      </c>
      <c r="B123" s="16" t="s">
        <v>41</v>
      </c>
      <c r="C123" s="16">
        <v>92</v>
      </c>
      <c r="D123" s="16" t="s">
        <v>42</v>
      </c>
      <c r="E123" s="16">
        <v>0</v>
      </c>
      <c r="F123" s="16">
        <v>0</v>
      </c>
      <c r="G123" s="16">
        <v>0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Props1.xml><?xml version="1.0" encoding="utf-8"?>
<ds:datastoreItem xmlns:ds="http://schemas.openxmlformats.org/officeDocument/2006/customXml" ds:itemID="{2F9A237B-B87D-473D-A1A4-598801ED7DD4}"/>
</file>

<file path=customXml/itemProps2.xml><?xml version="1.0" encoding="utf-8"?>
<ds:datastoreItem xmlns:ds="http://schemas.openxmlformats.org/officeDocument/2006/customXml" ds:itemID="{0EE4C1FA-CF84-414B-BA2B-BF5F21A714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74C038-34DB-4FC9-BDC8-01AE0F2E1E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38</vt:i4>
      </vt:variant>
      <vt:variant>
        <vt:lpstr>Rangos con nombre</vt:lpstr>
      </vt:variant>
      <vt:variant>
        <vt:i4>1</vt:i4>
      </vt:variant>
    </vt:vector>
  </HeadingPairs>
  <TitlesOfParts>
    <vt:vector size="39" baseType="lpstr">
      <vt:lpstr>Electricidad</vt:lpstr>
      <vt:lpstr>3.0TD</vt:lpstr>
      <vt:lpstr>2034VC</vt:lpstr>
      <vt:lpstr>9002VV</vt:lpstr>
      <vt:lpstr>9001VQ</vt:lpstr>
      <vt:lpstr>1026AP</vt:lpstr>
      <vt:lpstr>6001EZ</vt:lpstr>
      <vt:lpstr>9014LW</vt:lpstr>
      <vt:lpstr>9001DR</vt:lpstr>
      <vt:lpstr>3021YT</vt:lpstr>
      <vt:lpstr>6034XG</vt:lpstr>
      <vt:lpstr>3003KX</vt:lpstr>
      <vt:lpstr>7871CF</vt:lpstr>
      <vt:lpstr>1307LV</vt:lpstr>
      <vt:lpstr>3001NQ</vt:lpstr>
      <vt:lpstr>9012KD</vt:lpstr>
      <vt:lpstr>5009EN</vt:lpstr>
      <vt:lpstr>9001TT</vt:lpstr>
      <vt:lpstr>4021XW</vt:lpstr>
      <vt:lpstr>2002TQ</vt:lpstr>
      <vt:lpstr>5002TJ</vt:lpstr>
      <vt:lpstr>6001JF</vt:lpstr>
      <vt:lpstr>4001XZ</vt:lpstr>
      <vt:lpstr>2001GH</vt:lpstr>
      <vt:lpstr>7001PC</vt:lpstr>
      <vt:lpstr>8001QN</vt:lpstr>
      <vt:lpstr>3001RN</vt:lpstr>
      <vt:lpstr>2001DA</vt:lpstr>
      <vt:lpstr>8001WP</vt:lpstr>
      <vt:lpstr>8633CD</vt:lpstr>
      <vt:lpstr>2452LT</vt:lpstr>
      <vt:lpstr>4014MY</vt:lpstr>
      <vt:lpstr>4443XC</vt:lpstr>
      <vt:lpstr>4536ZR</vt:lpstr>
      <vt:lpstr>7189PW</vt:lpstr>
      <vt:lpstr>8334SA</vt:lpstr>
      <vt:lpstr>8001CZ</vt:lpstr>
      <vt:lpstr>0192PH</vt:lpstr>
      <vt:lpstr>Electricidad!Área_de_impresión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Laia</dc:creator>
  <cp:lastModifiedBy>Usuario de Windows</cp:lastModifiedBy>
  <cp:lastPrinted>2023-06-28T10:01:07Z</cp:lastPrinted>
  <dcterms:created xsi:type="dcterms:W3CDTF">2021-10-25T06:52:51Z</dcterms:created>
  <dcterms:modified xsi:type="dcterms:W3CDTF">2023-07-21T10:36:25Z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</Properties>
</file>